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seantoniomena/Desktop/"/>
    </mc:Choice>
  </mc:AlternateContent>
  <xr:revisionPtr revIDLastSave="0" documentId="13_ncr:1_{81A46C63-8855-4145-BD31-F68A98F9FEDB}" xr6:coauthVersionLast="47" xr6:coauthVersionMax="47" xr10:uidLastSave="{00000000-0000-0000-0000-000000000000}"/>
  <bookViews>
    <workbookView xWindow="0" yWindow="500" windowWidth="28800" windowHeight="16260" xr2:uid="{86F57B40-98D0-2A40-80FC-4273490EC399}"/>
  </bookViews>
  <sheets>
    <sheet name="Balance" sheetId="1" r:id="rId1"/>
  </sheets>
  <externalReferences>
    <externalReference r:id="rId2"/>
    <externalReference r:id="rId3"/>
  </externalReferences>
  <definedNames>
    <definedName name="ASSS">#REF!</definedName>
    <definedName name="centrodecosto">[1]PlanGeneral!$R$2:$R$15</definedName>
    <definedName name="kkkk1">[2]PlanGeneral!$S$2:$S$7</definedName>
    <definedName name="programa1">[1]PlanGeneral!$S$2:$S$7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0" i="1" l="1"/>
  <c r="F50" i="1"/>
  <c r="D50" i="1"/>
  <c r="C50" i="1"/>
  <c r="J49" i="1"/>
  <c r="F49" i="1"/>
  <c r="D49" i="1"/>
  <c r="C49" i="1"/>
  <c r="J48" i="1"/>
  <c r="F48" i="1"/>
  <c r="D48" i="1"/>
  <c r="C48" i="1"/>
  <c r="J47" i="1"/>
  <c r="F47" i="1"/>
  <c r="D47" i="1"/>
  <c r="C47" i="1"/>
  <c r="J46" i="1"/>
  <c r="F46" i="1"/>
  <c r="D46" i="1"/>
  <c r="C46" i="1"/>
  <c r="J45" i="1"/>
  <c r="J52" i="1" s="1"/>
  <c r="F45" i="1"/>
  <c r="D45" i="1"/>
  <c r="C45" i="1"/>
  <c r="I44" i="1"/>
  <c r="E44" i="1"/>
  <c r="D44" i="1"/>
  <c r="C44" i="1"/>
  <c r="I43" i="1"/>
  <c r="L40" i="1" s="1"/>
  <c r="E43" i="1"/>
  <c r="D43" i="1"/>
  <c r="C43" i="1"/>
  <c r="I42" i="1"/>
  <c r="L39" i="1" s="1"/>
  <c r="E42" i="1"/>
  <c r="D42" i="1"/>
  <c r="C42" i="1"/>
  <c r="L41" i="1"/>
  <c r="I41" i="1"/>
  <c r="L38" i="1" s="1"/>
  <c r="E41" i="1"/>
  <c r="D41" i="1"/>
  <c r="C41" i="1"/>
  <c r="I40" i="1"/>
  <c r="L37" i="1" s="1"/>
  <c r="E40" i="1"/>
  <c r="D40" i="1"/>
  <c r="C40" i="1"/>
  <c r="I39" i="1"/>
  <c r="L36" i="1" s="1"/>
  <c r="E39" i="1"/>
  <c r="D39" i="1"/>
  <c r="C39" i="1"/>
  <c r="I38" i="1"/>
  <c r="E38" i="1"/>
  <c r="D38" i="1"/>
  <c r="C38" i="1"/>
  <c r="I37" i="1"/>
  <c r="L34" i="1" s="1"/>
  <c r="E37" i="1"/>
  <c r="D37" i="1"/>
  <c r="C37" i="1"/>
  <c r="I36" i="1"/>
  <c r="L33" i="1" s="1"/>
  <c r="E36" i="1"/>
  <c r="D36" i="1"/>
  <c r="C36" i="1"/>
  <c r="L35" i="1"/>
  <c r="I35" i="1"/>
  <c r="E35" i="1"/>
  <c r="D35" i="1"/>
  <c r="C35" i="1"/>
  <c r="I34" i="1"/>
  <c r="L31" i="1" s="1"/>
  <c r="E34" i="1"/>
  <c r="D34" i="1"/>
  <c r="C34" i="1"/>
  <c r="I33" i="1"/>
  <c r="L30" i="1" s="1"/>
  <c r="E33" i="1"/>
  <c r="D33" i="1"/>
  <c r="C33" i="1"/>
  <c r="L32" i="1"/>
  <c r="I32" i="1"/>
  <c r="L29" i="1" s="1"/>
  <c r="E32" i="1"/>
  <c r="D32" i="1"/>
  <c r="C32" i="1"/>
  <c r="I31" i="1"/>
  <c r="E31" i="1"/>
  <c r="D31" i="1"/>
  <c r="C31" i="1"/>
  <c r="I30" i="1"/>
  <c r="L27" i="1" s="1"/>
  <c r="E30" i="1"/>
  <c r="D30" i="1"/>
  <c r="C30" i="1"/>
  <c r="I29" i="1"/>
  <c r="L26" i="1" s="1"/>
  <c r="E29" i="1"/>
  <c r="D29" i="1"/>
  <c r="C29" i="1"/>
  <c r="L28" i="1"/>
  <c r="I28" i="1"/>
  <c r="L25" i="1" s="1"/>
  <c r="E28" i="1"/>
  <c r="D28" i="1"/>
  <c r="C28" i="1"/>
  <c r="I27" i="1"/>
  <c r="L24" i="1" s="1"/>
  <c r="E27" i="1"/>
  <c r="D27" i="1"/>
  <c r="C27" i="1"/>
  <c r="I26" i="1"/>
  <c r="E26" i="1"/>
  <c r="D26" i="1"/>
  <c r="C26" i="1"/>
  <c r="H25" i="1"/>
  <c r="P27" i="1" s="1"/>
  <c r="F25" i="1"/>
  <c r="D25" i="1"/>
  <c r="C25" i="1"/>
  <c r="H24" i="1"/>
  <c r="F24" i="1"/>
  <c r="D24" i="1"/>
  <c r="C24" i="1"/>
  <c r="L23" i="1"/>
  <c r="H23" i="1"/>
  <c r="F23" i="1"/>
  <c r="D23" i="1"/>
  <c r="C23" i="1"/>
  <c r="H22" i="1"/>
  <c r="F22" i="1"/>
  <c r="D22" i="1"/>
  <c r="C22" i="1"/>
  <c r="H21" i="1"/>
  <c r="F21" i="1"/>
  <c r="D21" i="1"/>
  <c r="C21" i="1"/>
  <c r="H20" i="1"/>
  <c r="F20" i="1"/>
  <c r="D20" i="1"/>
  <c r="C20" i="1"/>
  <c r="H19" i="1"/>
  <c r="F19" i="1"/>
  <c r="D19" i="1"/>
  <c r="C19" i="1"/>
  <c r="H18" i="1"/>
  <c r="F18" i="1"/>
  <c r="D18" i="1"/>
  <c r="C18" i="1"/>
  <c r="H17" i="1"/>
  <c r="F17" i="1"/>
  <c r="D17" i="1"/>
  <c r="C17" i="1"/>
  <c r="G16" i="1"/>
  <c r="E16" i="1"/>
  <c r="D16" i="1"/>
  <c r="C16" i="1"/>
  <c r="G15" i="1"/>
  <c r="P11" i="1" s="1"/>
  <c r="E15" i="1"/>
  <c r="D15" i="1"/>
  <c r="C15" i="1"/>
  <c r="G14" i="1"/>
  <c r="E14" i="1"/>
  <c r="D14" i="1"/>
  <c r="C14" i="1"/>
  <c r="S13" i="1"/>
  <c r="P13" i="1"/>
  <c r="G13" i="1"/>
  <c r="E13" i="1"/>
  <c r="D13" i="1"/>
  <c r="C13" i="1"/>
  <c r="S12" i="1"/>
  <c r="G12" i="1"/>
  <c r="E12" i="1"/>
  <c r="D12" i="1"/>
  <c r="C12" i="1"/>
  <c r="G11" i="1"/>
  <c r="E11" i="1"/>
  <c r="D11" i="1"/>
  <c r="C11" i="1"/>
  <c r="G10" i="1"/>
  <c r="P8" i="1" s="1"/>
  <c r="E10" i="1"/>
  <c r="D10" i="1"/>
  <c r="C10" i="1"/>
  <c r="S9" i="1"/>
  <c r="G9" i="1"/>
  <c r="P7" i="1" s="1"/>
  <c r="E9" i="1"/>
  <c r="D9" i="1"/>
  <c r="C9" i="1"/>
  <c r="S8" i="1"/>
  <c r="G8" i="1"/>
  <c r="E8" i="1"/>
  <c r="D8" i="1"/>
  <c r="C8" i="1"/>
  <c r="S7" i="1"/>
  <c r="G7" i="1"/>
  <c r="P9" i="1" s="1"/>
  <c r="E7" i="1"/>
  <c r="D7" i="1"/>
  <c r="C7" i="1"/>
  <c r="G6" i="1"/>
  <c r="E6" i="1"/>
  <c r="D6" i="1"/>
  <c r="C6" i="1"/>
  <c r="G5" i="1"/>
  <c r="E5" i="1"/>
  <c r="D5" i="1"/>
  <c r="C5" i="1"/>
  <c r="G4" i="1"/>
  <c r="E4" i="1"/>
  <c r="D4" i="1"/>
  <c r="C4" i="1"/>
  <c r="P6" i="1" l="1"/>
  <c r="S25" i="1"/>
  <c r="S19" i="1"/>
  <c r="I52" i="1"/>
  <c r="S30" i="1"/>
  <c r="P20" i="1"/>
  <c r="C52" i="1"/>
  <c r="C54" i="1" s="1"/>
  <c r="P10" i="1"/>
  <c r="F52" i="1"/>
  <c r="F54" i="1" s="1"/>
  <c r="D52" i="1"/>
  <c r="D54" i="1" s="1"/>
  <c r="H52" i="1"/>
  <c r="E52" i="1"/>
  <c r="E54" i="1" s="1"/>
  <c r="S15" i="1"/>
  <c r="P19" i="1"/>
  <c r="P21" i="1" s="1"/>
  <c r="G52" i="1"/>
  <c r="H53" i="1" s="1"/>
  <c r="P26" i="1" s="1"/>
  <c r="P29" i="1" s="1"/>
  <c r="S22" i="1"/>
  <c r="S24" i="1"/>
  <c r="S27" i="1"/>
  <c r="J54" i="1"/>
  <c r="I53" i="1"/>
  <c r="I54" i="1" s="1"/>
  <c r="P5" i="1"/>
  <c r="P16" i="1" l="1"/>
  <c r="G54" i="1"/>
  <c r="S33" i="1"/>
  <c r="S35" i="1" s="1"/>
  <c r="H54" i="1"/>
  <c r="P31" i="1"/>
  <c r="P34" i="1" s="1"/>
</calcChain>
</file>

<file path=xl/sharedStrings.xml><?xml version="1.0" encoding="utf-8"?>
<sst xmlns="http://schemas.openxmlformats.org/spreadsheetml/2006/main" count="171" uniqueCount="103">
  <si>
    <t>CUENTA</t>
  </si>
  <si>
    <t>DÉBITOS</t>
  </si>
  <si>
    <t>CRÉDITOS</t>
  </si>
  <si>
    <t>DEUDOR</t>
  </si>
  <si>
    <t>ACREEDOR</t>
  </si>
  <si>
    <t>ACTIVO</t>
  </si>
  <si>
    <t>PASIVO</t>
  </si>
  <si>
    <t>PÉRDIDA</t>
  </si>
  <si>
    <t>GANANCIA</t>
  </si>
  <si>
    <t xml:space="preserve">Balance al 31 de diciembre de </t>
  </si>
  <si>
    <t xml:space="preserve">Resultado al 31 de diciembre </t>
  </si>
  <si>
    <t>A</t>
  </si>
  <si>
    <t xml:space="preserve">Cuenta 1 </t>
  </si>
  <si>
    <t>Activos</t>
  </si>
  <si>
    <t>Ingresos</t>
  </si>
  <si>
    <t xml:space="preserve">Cuenta 2 </t>
  </si>
  <si>
    <t xml:space="preserve">Efectivo </t>
  </si>
  <si>
    <t>AMM</t>
  </si>
  <si>
    <t>Cuentas por cobrar</t>
  </si>
  <si>
    <t>Auspicios</t>
  </si>
  <si>
    <t>Depósito a plazo</t>
  </si>
  <si>
    <t>Inventario Mapas</t>
  </si>
  <si>
    <t>Suscripciones</t>
  </si>
  <si>
    <t>Estimación Deudores Incobrables</t>
  </si>
  <si>
    <t>Plan anual de suscripción</t>
  </si>
  <si>
    <t>Venta directa de mapas</t>
  </si>
  <si>
    <t>Existencias de mapas</t>
  </si>
  <si>
    <t>Inversiones</t>
  </si>
  <si>
    <t>Donaciones</t>
  </si>
  <si>
    <t>Equipamiento</t>
  </si>
  <si>
    <t>Lippi</t>
  </si>
  <si>
    <t>GPS</t>
  </si>
  <si>
    <t>Crédito fiscal (IVA)</t>
  </si>
  <si>
    <t>Ministerio BN</t>
  </si>
  <si>
    <t>Equipo expedición</t>
  </si>
  <si>
    <t xml:space="preserve">Reintegros </t>
  </si>
  <si>
    <t>Anticipo proveedores</t>
  </si>
  <si>
    <t>Otros activos</t>
  </si>
  <si>
    <t>Otros*</t>
  </si>
  <si>
    <t>Honorarios pagados por anticipado</t>
  </si>
  <si>
    <t>IVA CF</t>
  </si>
  <si>
    <t>Total ingresos</t>
  </si>
  <si>
    <t>Uso servidor</t>
  </si>
  <si>
    <t>Total Activos</t>
  </si>
  <si>
    <t>P</t>
  </si>
  <si>
    <t>Anticipo clientes</t>
  </si>
  <si>
    <t>Egresos por área</t>
  </si>
  <si>
    <t>Ingresos por devengar</t>
  </si>
  <si>
    <t>Pasivos</t>
  </si>
  <si>
    <t>Comisión suscrip por pagar</t>
  </si>
  <si>
    <t>Cuentas por pagar</t>
  </si>
  <si>
    <t>Edición</t>
  </si>
  <si>
    <t>Comisión venta por pagar</t>
  </si>
  <si>
    <t>Otros</t>
  </si>
  <si>
    <t>Cartografía</t>
  </si>
  <si>
    <t>Honorarios por pagar</t>
  </si>
  <si>
    <t>Total Pasivos</t>
  </si>
  <si>
    <t>Documentación</t>
  </si>
  <si>
    <t>Impuesto retenido 2º categoría</t>
  </si>
  <si>
    <t>Promoción</t>
  </si>
  <si>
    <t>IVA DF</t>
  </si>
  <si>
    <t>Administración y finanzas</t>
  </si>
  <si>
    <t>Comercial</t>
  </si>
  <si>
    <t>Deficit o superavit acumulados</t>
  </si>
  <si>
    <t>Patrimonio</t>
  </si>
  <si>
    <t>Informática web</t>
  </si>
  <si>
    <t>G</t>
  </si>
  <si>
    <t>Actividades de promoción</t>
  </si>
  <si>
    <t>Ganancia / pérdida ejercicio</t>
  </si>
  <si>
    <t>AHB al Aula</t>
  </si>
  <si>
    <t>Comisión banca electrónica</t>
  </si>
  <si>
    <t>Eventos (vivo)</t>
  </si>
  <si>
    <t>Comisión suscrip</t>
  </si>
  <si>
    <t>Directorio</t>
  </si>
  <si>
    <t>Comisión venta</t>
  </si>
  <si>
    <t>Total Patrimonio</t>
  </si>
  <si>
    <t>Costo de venta</t>
  </si>
  <si>
    <t>Costo en personal</t>
  </si>
  <si>
    <t>Total Pasivos + Patrimonio</t>
  </si>
  <si>
    <t>Depreciación</t>
  </si>
  <si>
    <t>Director ejecutivo</t>
  </si>
  <si>
    <t>Total egresos</t>
  </si>
  <si>
    <t>Editor Jefe</t>
  </si>
  <si>
    <t>Editores</t>
  </si>
  <si>
    <t>Ganancia /pérdida ejercicio</t>
  </si>
  <si>
    <t>Eventos</t>
  </si>
  <si>
    <t>Gastos de envío/fletes</t>
  </si>
  <si>
    <t>Gastos notariales</t>
  </si>
  <si>
    <t>Otros gastos</t>
  </si>
  <si>
    <t>*Considera reajustes e intereses</t>
  </si>
  <si>
    <t>Publicidad y promoción</t>
  </si>
  <si>
    <t>Servicio de contabilidad</t>
  </si>
  <si>
    <t>Servidor</t>
  </si>
  <si>
    <t>Transporte</t>
  </si>
  <si>
    <t xml:space="preserve">Web Master </t>
  </si>
  <si>
    <t>I</t>
  </si>
  <si>
    <t>Otros ingresos</t>
  </si>
  <si>
    <t>Reajuste</t>
  </si>
  <si>
    <t>Reintegros/reembolsos</t>
  </si>
  <si>
    <t>Venta de Mapas</t>
  </si>
  <si>
    <t>TOTALES</t>
  </si>
  <si>
    <t>Ganancia/Pérdida del ejercicio</t>
  </si>
  <si>
    <t>Sumas iguales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</si>
</sst>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&quot;-&quot;_);_(@_)"/>
    <numFmt numFmtId="165" formatCode="_ * #,##0.00_ ;_ * \-#,##0.00_ ;_ * &quot;-&quot;??_ ;_ @_ "/>
    <numFmt numFmtId="166" formatCode="_ * #,##0_ ;_ * \-#,##0_ ;_ * &quot;-&quot;??_ ;_ @_ "/>
    <numFmt numFmtId="167" formatCode="_ * #,##0_ ;_ * \-#,##0_ ;_ * &quot;-&quot;_ ;_ @_ "/>
  </numFmts>
  <fonts count="8" x14ac:knownFonts="1">
    <font>
      <sz val="9"/>
      <color theme="1"/>
      <name val="Verdana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Verdana"/>
      <family val="2"/>
    </font>
    <font>
      <u/>
      <sz val="12"/>
      <color theme="1"/>
      <name val="Calibri"/>
      <family val="2"/>
      <scheme val="minor"/>
    </font>
    <font>
      <b/>
      <sz val="9"/>
      <color theme="1"/>
      <name val="Verdana"/>
      <family val="2"/>
    </font>
    <font>
      <sz val="9"/>
      <color theme="0"/>
      <name val="Verdana"/>
      <family val="2"/>
    </font>
    <font>
      <i/>
      <sz val="8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1" applyFont="1" applyBorder="1"/>
    <xf numFmtId="0" fontId="4" fillId="0" borderId="0" xfId="0" applyFont="1"/>
    <xf numFmtId="164" fontId="0" fillId="0" borderId="0" xfId="0" applyNumberFormat="1"/>
    <xf numFmtId="164" fontId="0" fillId="0" borderId="1" xfId="1" applyFont="1" applyFill="1" applyBorder="1"/>
    <xf numFmtId="0" fontId="5" fillId="0" borderId="0" xfId="0" applyFont="1"/>
    <xf numFmtId="166" fontId="2" fillId="0" borderId="0" xfId="2" applyNumberFormat="1" applyFont="1"/>
    <xf numFmtId="164" fontId="2" fillId="0" borderId="0" xfId="0" applyNumberFormat="1" applyFont="1"/>
    <xf numFmtId="0" fontId="6" fillId="0" borderId="0" xfId="0" applyFont="1"/>
    <xf numFmtId="167" fontId="0" fillId="0" borderId="1" xfId="0" applyNumberFormat="1" applyBorder="1"/>
    <xf numFmtId="167" fontId="0" fillId="0" borderId="0" xfId="0" applyNumberFormat="1"/>
    <xf numFmtId="167" fontId="2" fillId="0" borderId="0" xfId="0" applyNumberFormat="1" applyFont="1"/>
    <xf numFmtId="166" fontId="0" fillId="0" borderId="0" xfId="0" applyNumberFormat="1"/>
    <xf numFmtId="0" fontId="7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 wrapText="1"/>
    </xf>
  </cellXfs>
  <cellStyles count="3">
    <cellStyle name="Comma 2" xfId="2" xr:uid="{19A080E0-6335-1A46-99B7-5D39C59CEF56}"/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joseantoniomena/Downloads/AHB%20Balance%20an&#771;o%202023_v3.xlsx" TargetMode="External"/><Relationship Id="rId1" Type="http://schemas.openxmlformats.org/officeDocument/2006/relationships/externalLinkPath" Target="/Users/joseantoniomena/Downloads/AHB%20Balance%20an&#771;o%202023_v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egomeza_deloitte_com/Documents/Documents/Cursos/Personal/AHB/Balance/Balance%20AHB%20a&#241;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General"/>
      <sheetName val="Plan de cuentas detallado"/>
      <sheetName val="Contabilidad"/>
      <sheetName val="Balance (2)"/>
      <sheetName val="Balance"/>
      <sheetName val="CdV"/>
      <sheetName val="Cuentas por cobrar"/>
      <sheetName val="Cuentas por pagar"/>
      <sheetName val="Honorarios por pagar"/>
    </sheetNames>
    <sheetDataSet>
      <sheetData sheetId="0">
        <row r="2">
          <cell r="R2" t="str">
            <v>Cartografía</v>
          </cell>
          <cell r="S2" t="str">
            <v>Operación AHB</v>
          </cell>
        </row>
        <row r="3">
          <cell r="R3" t="str">
            <v>Edición</v>
          </cell>
          <cell r="S3" t="str">
            <v>AMM</v>
          </cell>
        </row>
        <row r="4">
          <cell r="R4" t="str">
            <v>AHB al Aula</v>
          </cell>
          <cell r="S4" t="str">
            <v>Lippi</v>
          </cell>
        </row>
        <row r="5">
          <cell r="R5" t="str">
            <v>Documentación</v>
          </cell>
          <cell r="S5" t="str">
            <v xml:space="preserve">GEF </v>
          </cell>
        </row>
        <row r="6">
          <cell r="R6" t="str">
            <v>Promoción</v>
          </cell>
          <cell r="S6" t="str">
            <v>CORFO</v>
          </cell>
        </row>
        <row r="7">
          <cell r="R7" t="str">
            <v>Comercial</v>
          </cell>
          <cell r="S7" t="str">
            <v>Navarino</v>
          </cell>
        </row>
        <row r="8">
          <cell r="R8" t="str">
            <v>Suscripciones</v>
          </cell>
        </row>
        <row r="9">
          <cell r="R9" t="str">
            <v>Accesos</v>
          </cell>
        </row>
        <row r="10">
          <cell r="R10" t="str">
            <v>Informática web</v>
          </cell>
        </row>
        <row r="11">
          <cell r="R11" t="str">
            <v>Informática app</v>
          </cell>
        </row>
        <row r="12">
          <cell r="R12" t="str">
            <v>Eventos (vivo)</v>
          </cell>
        </row>
        <row r="13">
          <cell r="R13" t="str">
            <v>Directorio</v>
          </cell>
        </row>
        <row r="14">
          <cell r="R14" t="str">
            <v>Ninguno</v>
          </cell>
        </row>
        <row r="15">
          <cell r="R15" t="str">
            <v>Administración y Finanzas</v>
          </cell>
        </row>
      </sheetData>
      <sheetData sheetId="1" refreshError="1"/>
      <sheetData sheetId="2">
        <row r="6">
          <cell r="N6" t="str">
            <v>Anticipo proveedores</v>
          </cell>
          <cell r="O6">
            <v>2684624</v>
          </cell>
          <cell r="P6">
            <v>2684624</v>
          </cell>
          <cell r="Q6">
            <v>0</v>
          </cell>
        </row>
        <row r="7">
          <cell r="N7" t="str">
            <v xml:space="preserve">Cuenta 1 </v>
          </cell>
          <cell r="O7">
            <v>31466182</v>
          </cell>
          <cell r="P7">
            <v>26711066</v>
          </cell>
          <cell r="Q7">
            <v>4755116</v>
          </cell>
        </row>
        <row r="8">
          <cell r="N8" t="str">
            <v xml:space="preserve">Cuenta 2 </v>
          </cell>
          <cell r="O8">
            <v>439879</v>
          </cell>
          <cell r="P8">
            <v>133629</v>
          </cell>
          <cell r="Q8">
            <v>306250</v>
          </cell>
        </row>
        <row r="9">
          <cell r="N9" t="str">
            <v>Cuentas por cobrar</v>
          </cell>
          <cell r="O9">
            <v>27077301</v>
          </cell>
          <cell r="P9">
            <v>24636259</v>
          </cell>
          <cell r="Q9">
            <v>2441042</v>
          </cell>
        </row>
        <row r="10">
          <cell r="N10" t="str">
            <v>Depósito a plazo</v>
          </cell>
          <cell r="O10">
            <v>8324806</v>
          </cell>
          <cell r="Q10">
            <v>8324806</v>
          </cell>
        </row>
        <row r="11">
          <cell r="N11" t="str">
            <v>Estimación Deudores Incobrables</v>
          </cell>
          <cell r="P11">
            <v>662501</v>
          </cell>
          <cell r="Q11">
            <v>-662501</v>
          </cell>
        </row>
        <row r="12">
          <cell r="N12" t="str">
            <v>Existencias de mapas</v>
          </cell>
          <cell r="O12">
            <v>3827550</v>
          </cell>
          <cell r="P12">
            <v>291550</v>
          </cell>
          <cell r="Q12">
            <v>3536000</v>
          </cell>
        </row>
        <row r="13">
          <cell r="N13" t="str">
            <v>GPS</v>
          </cell>
          <cell r="O13">
            <v>160000</v>
          </cell>
          <cell r="P13">
            <v>60000</v>
          </cell>
          <cell r="Q13">
            <v>100000</v>
          </cell>
        </row>
        <row r="14">
          <cell r="N14" t="str">
            <v>Honorarios pagados por anticipado</v>
          </cell>
          <cell r="O14">
            <v>14598329</v>
          </cell>
          <cell r="P14">
            <v>14598329</v>
          </cell>
          <cell r="Q14">
            <v>0</v>
          </cell>
        </row>
        <row r="15">
          <cell r="N15" t="str">
            <v>IVA CF</v>
          </cell>
          <cell r="O15">
            <v>311574</v>
          </cell>
          <cell r="P15">
            <v>216142</v>
          </cell>
          <cell r="Q15">
            <v>95432</v>
          </cell>
        </row>
        <row r="16">
          <cell r="N16" t="str">
            <v>Plan anual de suscripción</v>
          </cell>
          <cell r="O16">
            <v>739187</v>
          </cell>
          <cell r="Q16">
            <v>739187</v>
          </cell>
        </row>
        <row r="17">
          <cell r="N17" t="str">
            <v>Uso servidor</v>
          </cell>
          <cell r="O17">
            <v>424393</v>
          </cell>
          <cell r="P17">
            <v>70732.166666666672</v>
          </cell>
          <cell r="Q17">
            <v>353660.83333333331</v>
          </cell>
        </row>
        <row r="18">
          <cell r="N18" t="str">
            <v>Equipo expedición</v>
          </cell>
          <cell r="O18">
            <v>390000</v>
          </cell>
          <cell r="Q18">
            <v>390000</v>
          </cell>
        </row>
        <row r="19">
          <cell r="N19" t="str">
            <v>Actividades de promoción</v>
          </cell>
          <cell r="O19">
            <v>1463234</v>
          </cell>
          <cell r="Q19">
            <v>1463234</v>
          </cell>
        </row>
        <row r="20">
          <cell r="N20" t="str">
            <v>Comisión banca electrónica</v>
          </cell>
          <cell r="O20">
            <v>40012</v>
          </cell>
          <cell r="Q20">
            <v>40012</v>
          </cell>
        </row>
        <row r="21">
          <cell r="N21" t="str">
            <v>Comisión suscrip</v>
          </cell>
          <cell r="O21">
            <v>1160895</v>
          </cell>
          <cell r="Q21">
            <v>1160895</v>
          </cell>
        </row>
        <row r="22">
          <cell r="N22" t="str">
            <v>Comisión venta</v>
          </cell>
          <cell r="O22">
            <v>22919</v>
          </cell>
          <cell r="Q22">
            <v>22919</v>
          </cell>
        </row>
        <row r="23">
          <cell r="N23" t="str">
            <v>Costo de venta</v>
          </cell>
          <cell r="O23">
            <v>291550</v>
          </cell>
          <cell r="Q23">
            <v>291550</v>
          </cell>
        </row>
        <row r="24">
          <cell r="N24" t="str">
            <v>Costo en personal</v>
          </cell>
          <cell r="O24">
            <v>12466</v>
          </cell>
          <cell r="Q24">
            <v>12466</v>
          </cell>
        </row>
        <row r="25">
          <cell r="N25" t="str">
            <v>Depreciación</v>
          </cell>
          <cell r="O25">
            <v>60000</v>
          </cell>
          <cell r="Q25">
            <v>60000</v>
          </cell>
        </row>
        <row r="26">
          <cell r="N26" t="str">
            <v>Director ejecutivo</v>
          </cell>
          <cell r="O26">
            <v>12808974</v>
          </cell>
          <cell r="Q26">
            <v>12808974</v>
          </cell>
        </row>
        <row r="27">
          <cell r="N27" t="str">
            <v>Editor Jefe</v>
          </cell>
          <cell r="O27">
            <v>2164537</v>
          </cell>
          <cell r="Q27">
            <v>2164537</v>
          </cell>
        </row>
        <row r="28">
          <cell r="N28" t="str">
            <v>Editores</v>
          </cell>
          <cell r="O28">
            <v>712127</v>
          </cell>
          <cell r="Q28">
            <v>712127</v>
          </cell>
        </row>
        <row r="29">
          <cell r="N29" t="str">
            <v>Eventos</v>
          </cell>
          <cell r="O29">
            <v>34483</v>
          </cell>
          <cell r="Q29">
            <v>34483</v>
          </cell>
        </row>
        <row r="30">
          <cell r="N30" t="str">
            <v>Gastos de envío/fletes</v>
          </cell>
          <cell r="O30">
            <v>112431</v>
          </cell>
          <cell r="Q30">
            <v>112431</v>
          </cell>
        </row>
        <row r="31">
          <cell r="N31" t="str">
            <v>Gastos notariales</v>
          </cell>
          <cell r="O31">
            <v>45000</v>
          </cell>
          <cell r="Q31">
            <v>45000</v>
          </cell>
        </row>
        <row r="32">
          <cell r="N32" t="str">
            <v>Otros gastos</v>
          </cell>
          <cell r="O32">
            <v>218237</v>
          </cell>
          <cell r="Q32">
            <v>218237</v>
          </cell>
        </row>
        <row r="33">
          <cell r="N33" t="str">
            <v>Publicidad y promoción</v>
          </cell>
          <cell r="O33">
            <v>207970</v>
          </cell>
          <cell r="Q33">
            <v>207970</v>
          </cell>
        </row>
        <row r="34">
          <cell r="N34" t="str">
            <v>Servicio de contabilidad</v>
          </cell>
          <cell r="O34">
            <v>1309000</v>
          </cell>
          <cell r="Q34">
            <v>1309000</v>
          </cell>
        </row>
        <row r="35">
          <cell r="N35" t="str">
            <v>Servidor</v>
          </cell>
          <cell r="O35">
            <v>407185.16666666669</v>
          </cell>
          <cell r="Q35">
            <v>407185.16666666669</v>
          </cell>
        </row>
        <row r="36">
          <cell r="N36" t="str">
            <v>Transporte</v>
          </cell>
          <cell r="O36">
            <v>20000</v>
          </cell>
          <cell r="Q36">
            <v>20000</v>
          </cell>
        </row>
        <row r="37">
          <cell r="N37" t="str">
            <v xml:space="preserve">Web Master </v>
          </cell>
          <cell r="O37">
            <v>2674585</v>
          </cell>
          <cell r="Q37">
            <v>2674585</v>
          </cell>
        </row>
        <row r="38">
          <cell r="N38" t="str">
            <v>Anticipo clientes</v>
          </cell>
          <cell r="O38">
            <v>1597867</v>
          </cell>
          <cell r="P38">
            <v>1597867</v>
          </cell>
          <cell r="Q38">
            <v>0</v>
          </cell>
        </row>
        <row r="39">
          <cell r="N39" t="str">
            <v>Comisión suscrip por pagar</v>
          </cell>
          <cell r="O39">
            <v>1381463</v>
          </cell>
          <cell r="P39">
            <v>1381463</v>
          </cell>
          <cell r="Q39">
            <v>0</v>
          </cell>
        </row>
        <row r="40">
          <cell r="N40" t="str">
            <v>Comisión venta por pagar</v>
          </cell>
          <cell r="O40">
            <v>27273</v>
          </cell>
          <cell r="P40">
            <v>27273</v>
          </cell>
          <cell r="Q40">
            <v>0</v>
          </cell>
        </row>
        <row r="41">
          <cell r="N41" t="str">
            <v>Honorarios por pagar</v>
          </cell>
          <cell r="O41">
            <v>603533</v>
          </cell>
          <cell r="P41">
            <v>1575537</v>
          </cell>
          <cell r="Q41">
            <v>972004</v>
          </cell>
        </row>
        <row r="42">
          <cell r="N42" t="str">
            <v>Impuesto retenido 2º categoría</v>
          </cell>
          <cell r="O42">
            <v>2045431</v>
          </cell>
          <cell r="P42">
            <v>2660040</v>
          </cell>
          <cell r="Q42">
            <v>614609</v>
          </cell>
        </row>
        <row r="43">
          <cell r="N43" t="str">
            <v>Ingresos por devengar</v>
          </cell>
          <cell r="P43">
            <v>739187</v>
          </cell>
          <cell r="Q43">
            <v>739187</v>
          </cell>
        </row>
        <row r="44">
          <cell r="N44" t="str">
            <v>IVA DF</v>
          </cell>
          <cell r="O44">
            <v>965458</v>
          </cell>
          <cell r="P44">
            <v>965458</v>
          </cell>
          <cell r="Q44">
            <v>0</v>
          </cell>
        </row>
        <row r="45">
          <cell r="N45" t="str">
            <v>Pasivos</v>
          </cell>
          <cell r="P45">
            <v>5000000</v>
          </cell>
          <cell r="Q45">
            <v>5000000</v>
          </cell>
        </row>
        <row r="46">
          <cell r="N46" t="str">
            <v>Deficit o superavit acumulados</v>
          </cell>
          <cell r="P46">
            <v>5656526</v>
          </cell>
          <cell r="Q46">
            <v>5656526</v>
          </cell>
        </row>
        <row r="47">
          <cell r="N47" t="str">
            <v>Donaciones</v>
          </cell>
          <cell r="P47">
            <v>1112630</v>
          </cell>
          <cell r="Q47">
            <v>1112630</v>
          </cell>
        </row>
        <row r="48">
          <cell r="N48" t="str">
            <v>Otros ingresos</v>
          </cell>
          <cell r="O48">
            <v>146990</v>
          </cell>
          <cell r="P48">
            <v>570656</v>
          </cell>
          <cell r="Q48">
            <v>423666</v>
          </cell>
        </row>
        <row r="49">
          <cell r="N49" t="str">
            <v>Reajuste</v>
          </cell>
          <cell r="O49">
            <v>105</v>
          </cell>
          <cell r="P49">
            <v>571272</v>
          </cell>
          <cell r="Q49">
            <v>571167</v>
          </cell>
        </row>
        <row r="50">
          <cell r="N50" t="str">
            <v>Reintegros/reembolsos</v>
          </cell>
          <cell r="P50">
            <v>161000</v>
          </cell>
          <cell r="Q50">
            <v>161000</v>
          </cell>
        </row>
        <row r="51">
          <cell r="N51" t="str">
            <v>Suscripciones</v>
          </cell>
          <cell r="P51">
            <v>23469320</v>
          </cell>
          <cell r="Q51">
            <v>23469320</v>
          </cell>
        </row>
        <row r="52">
          <cell r="N52" t="str">
            <v>Venta de Mapas</v>
          </cell>
          <cell r="O52">
            <v>56300</v>
          </cell>
          <cell r="P52">
            <v>5480789</v>
          </cell>
          <cell r="Q52">
            <v>5424489</v>
          </cell>
        </row>
        <row r="53">
          <cell r="N53" t="str">
            <v>(blank)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General"/>
      <sheetName val="Plan de cuentas detallado"/>
      <sheetName val="Contabilidad"/>
      <sheetName val="Administración y Finanzas"/>
      <sheetName val="Balance"/>
      <sheetName val="CdV"/>
      <sheetName val="Cuentas por cobrar"/>
      <sheetName val="Cuentas por pagar"/>
      <sheetName val="Honorarios por pagar"/>
    </sheetNames>
    <sheetDataSet>
      <sheetData sheetId="0">
        <row r="2">
          <cell r="S2" t="str">
            <v>Operación AHB</v>
          </cell>
        </row>
        <row r="3">
          <cell r="S3" t="str">
            <v>AMM</v>
          </cell>
        </row>
        <row r="4">
          <cell r="S4" t="str">
            <v>Lippi</v>
          </cell>
        </row>
        <row r="5">
          <cell r="S5" t="str">
            <v xml:space="preserve">GEF </v>
          </cell>
        </row>
        <row r="6">
          <cell r="S6" t="str">
            <v>CORFO</v>
          </cell>
        </row>
        <row r="7">
          <cell r="S7" t="str">
            <v>Navarino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10E10-9B12-744C-BC87-E4AE5B92F429}">
  <sheetPr>
    <tabColor theme="5" tint="0.39997558519241921"/>
  </sheetPr>
  <dimension ref="A2:S54"/>
  <sheetViews>
    <sheetView showGridLines="0" tabSelected="1" topLeftCell="B1" zoomScale="125" zoomScaleNormal="90" workbookViewId="0">
      <selection activeCell="Y15" sqref="Y15"/>
    </sheetView>
  </sheetViews>
  <sheetFormatPr baseColWidth="10" defaultColWidth="9" defaultRowHeight="12" x14ac:dyDescent="0.15"/>
  <cols>
    <col min="1" max="1" width="2.1640625" bestFit="1" customWidth="1"/>
    <col min="2" max="2" width="31" bestFit="1" customWidth="1"/>
    <col min="3" max="3" width="12.6640625" customWidth="1"/>
    <col min="4" max="4" width="13.1640625" customWidth="1"/>
    <col min="5" max="5" width="12.5" customWidth="1"/>
    <col min="6" max="6" width="13" customWidth="1"/>
    <col min="7" max="7" width="14.1640625" customWidth="1"/>
    <col min="8" max="8" width="13.1640625" customWidth="1"/>
    <col min="9" max="9" width="13.6640625" customWidth="1"/>
    <col min="10" max="10" width="11.5" bestFit="1" customWidth="1"/>
    <col min="11" max="11" width="12.6640625" customWidth="1"/>
    <col min="12" max="12" width="11.83203125" customWidth="1"/>
    <col min="15" max="15" width="26.6640625" customWidth="1"/>
    <col min="16" max="16" width="12" customWidth="1"/>
    <col min="17" max="17" width="8.6640625" customWidth="1"/>
    <col min="18" max="18" width="26.1640625" customWidth="1"/>
    <col min="19" max="19" width="12" customWidth="1"/>
  </cols>
  <sheetData>
    <row r="2" spans="1:19" ht="16" x14ac:dyDescent="0.2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O2" s="2" t="s">
        <v>9</v>
      </c>
      <c r="P2" s="3">
        <v>2023</v>
      </c>
      <c r="R2" s="2" t="s">
        <v>10</v>
      </c>
      <c r="S2" s="3">
        <v>2023</v>
      </c>
    </row>
    <row r="3" spans="1:19" x14ac:dyDescent="0.15">
      <c r="B3" s="20"/>
      <c r="C3" s="20"/>
      <c r="D3" s="20"/>
      <c r="E3" s="20"/>
      <c r="F3" s="20"/>
      <c r="G3" s="20"/>
      <c r="H3" s="20"/>
      <c r="I3" s="20"/>
      <c r="J3" s="20"/>
    </row>
    <row r="4" spans="1:19" ht="16" x14ac:dyDescent="0.2">
      <c r="A4" t="s">
        <v>11</v>
      </c>
      <c r="B4" s="5" t="s">
        <v>12</v>
      </c>
      <c r="C4" s="6">
        <f>+IFERROR(VLOOKUP(B4,[1]Contabilidad!$N$6:$Q$53,2,FALSE),0)</f>
        <v>31466182</v>
      </c>
      <c r="D4" s="6">
        <f>+IFERROR(VLOOKUP(B4,[1]Contabilidad!$N$6:$Q$53,3,FALSE),0)</f>
        <v>26711066</v>
      </c>
      <c r="E4" s="6">
        <f>+IFERROR(VLOOKUP(B4,[1]Contabilidad!$N$6:$Q$53,4,FALSE),0)</f>
        <v>4755116</v>
      </c>
      <c r="F4" s="6"/>
      <c r="G4" s="6">
        <f>+IFERROR(VLOOKUP(B4,[1]Contabilidad!$N$6:$Q$53,4,FALSE),0)</f>
        <v>4755116</v>
      </c>
      <c r="H4" s="6"/>
      <c r="I4" s="6"/>
      <c r="J4" s="6"/>
      <c r="O4" s="7" t="s">
        <v>13</v>
      </c>
      <c r="P4" s="7"/>
      <c r="R4" s="7" t="s">
        <v>14</v>
      </c>
      <c r="S4" s="7"/>
    </row>
    <row r="5" spans="1:19" x14ac:dyDescent="0.15">
      <c r="A5" t="s">
        <v>11</v>
      </c>
      <c r="B5" s="5" t="s">
        <v>15</v>
      </c>
      <c r="C5" s="6">
        <f>+IFERROR(VLOOKUP(B5,[1]Contabilidad!$N$6:$Q$53,2,FALSE),0)</f>
        <v>439879</v>
      </c>
      <c r="D5" s="6">
        <f>+IFERROR(VLOOKUP(B5,[1]Contabilidad!$N$6:$Q$53,3,FALSE),0)</f>
        <v>133629</v>
      </c>
      <c r="E5" s="6">
        <f>+IFERROR(VLOOKUP(B5,[1]Contabilidad!$N$6:$Q$53,4,FALSE),0)</f>
        <v>306250</v>
      </c>
      <c r="F5" s="6"/>
      <c r="G5" s="6">
        <f>+IFERROR(VLOOKUP(B5,[1]Contabilidad!$N$6:$Q$53,4,FALSE),0)</f>
        <v>306250</v>
      </c>
      <c r="H5" s="6"/>
      <c r="I5" s="6"/>
      <c r="J5" s="6"/>
      <c r="O5" t="s">
        <v>16</v>
      </c>
      <c r="P5" s="8">
        <f>+G4+G5</f>
        <v>5061366</v>
      </c>
      <c r="R5" t="s">
        <v>17</v>
      </c>
    </row>
    <row r="6" spans="1:19" x14ac:dyDescent="0.15">
      <c r="A6" t="s">
        <v>11</v>
      </c>
      <c r="B6" s="5" t="s">
        <v>18</v>
      </c>
      <c r="C6" s="6">
        <f>+IFERROR(VLOOKUP(B6,[1]Contabilidad!$N$6:$Q$53,2,FALSE),0)</f>
        <v>27077301</v>
      </c>
      <c r="D6" s="6">
        <f>+IFERROR(VLOOKUP(B6,[1]Contabilidad!$N$6:$Q$53,3,FALSE),0)</f>
        <v>24636259</v>
      </c>
      <c r="E6" s="6">
        <f>+IFERROR(VLOOKUP(B6,[1]Contabilidad!$N$6:$Q$53,4,FALSE),0)</f>
        <v>2441042</v>
      </c>
      <c r="F6" s="6"/>
      <c r="G6" s="6">
        <f>+IFERROR(VLOOKUP(B6,[1]Contabilidad!$N$6:$Q$53,4,FALSE),0)</f>
        <v>2441042</v>
      </c>
      <c r="H6" s="6"/>
      <c r="I6" s="6"/>
      <c r="J6" s="6"/>
      <c r="O6" t="s">
        <v>18</v>
      </c>
      <c r="P6" s="8">
        <f>+G6+G8</f>
        <v>1778541</v>
      </c>
      <c r="R6" t="s">
        <v>19</v>
      </c>
    </row>
    <row r="7" spans="1:19" x14ac:dyDescent="0.15">
      <c r="A7" t="s">
        <v>11</v>
      </c>
      <c r="B7" s="5" t="s">
        <v>20</v>
      </c>
      <c r="C7" s="6">
        <f>+IFERROR(VLOOKUP(B7,[1]Contabilidad!$N$6:$Q$53,2,FALSE),0)</f>
        <v>8324806</v>
      </c>
      <c r="D7" s="6">
        <f>+IFERROR(VLOOKUP(B7,[1]Contabilidad!$N$6:$Q$53,3,FALSE),0)</f>
        <v>0</v>
      </c>
      <c r="E7" s="6">
        <f>+IFERROR(VLOOKUP(B7,[1]Contabilidad!$N$6:$Q$53,4,FALSE),0)</f>
        <v>8324806</v>
      </c>
      <c r="F7" s="6"/>
      <c r="G7" s="6">
        <f>+IFERROR(VLOOKUP(B7,[1]Contabilidad!$N$6:$Q$53,4,FALSE),0)</f>
        <v>8324806</v>
      </c>
      <c r="H7" s="6"/>
      <c r="I7" s="6"/>
      <c r="J7" s="6"/>
      <c r="O7" t="s">
        <v>21</v>
      </c>
      <c r="P7" s="8">
        <f>+G9</f>
        <v>3536000</v>
      </c>
      <c r="R7" t="s">
        <v>22</v>
      </c>
      <c r="S7" s="8">
        <f>+J49</f>
        <v>23469320</v>
      </c>
    </row>
    <row r="8" spans="1:19" x14ac:dyDescent="0.15">
      <c r="A8" t="s">
        <v>11</v>
      </c>
      <c r="B8" s="5" t="s">
        <v>23</v>
      </c>
      <c r="C8" s="6">
        <f>+IFERROR(VLOOKUP(B8,[1]Contabilidad!$N$6:$Q$53,2,FALSE),0)</f>
        <v>0</v>
      </c>
      <c r="D8" s="6">
        <f>+IFERROR(VLOOKUP(B8,[1]Contabilidad!$N$6:$Q$53,3,FALSE),0)</f>
        <v>662501</v>
      </c>
      <c r="E8" s="6">
        <f>+IFERROR(VLOOKUP(B8,[1]Contabilidad!$N$6:$Q$53,4,FALSE),0)</f>
        <v>-662501</v>
      </c>
      <c r="F8" s="6"/>
      <c r="G8" s="6">
        <f>+IFERROR(VLOOKUP(B8,[1]Contabilidad!$N$6:$Q$53,4,FALSE),0)</f>
        <v>-662501</v>
      </c>
      <c r="H8" s="6"/>
      <c r="I8" s="6"/>
      <c r="J8" s="6"/>
      <c r="O8" t="s">
        <v>24</v>
      </c>
      <c r="P8" s="8">
        <f>+G10</f>
        <v>739187</v>
      </c>
      <c r="R8" t="s">
        <v>25</v>
      </c>
      <c r="S8" s="8">
        <f>+J50</f>
        <v>5424489</v>
      </c>
    </row>
    <row r="9" spans="1:19" x14ac:dyDescent="0.15">
      <c r="A9" t="s">
        <v>11</v>
      </c>
      <c r="B9" s="5" t="s">
        <v>26</v>
      </c>
      <c r="C9" s="6">
        <f>+IFERROR(VLOOKUP(B9,[1]Contabilidad!$N$6:$Q$53,2,FALSE),0)</f>
        <v>3827550</v>
      </c>
      <c r="D9" s="6">
        <f>+IFERROR(VLOOKUP(B9,[1]Contabilidad!$N$6:$Q$53,3,FALSE),0)</f>
        <v>291550</v>
      </c>
      <c r="E9" s="6">
        <f>+IFERROR(VLOOKUP(B9,[1]Contabilidad!$N$6:$Q$53,4,FALSE),0)</f>
        <v>3536000</v>
      </c>
      <c r="F9" s="6"/>
      <c r="G9" s="6">
        <f>+IFERROR(VLOOKUP(B9,[1]Contabilidad!$N$6:$Q$53,4,FALSE),0)</f>
        <v>3536000</v>
      </c>
      <c r="H9" s="6"/>
      <c r="I9" s="6"/>
      <c r="J9" s="6"/>
      <c r="O9" t="s">
        <v>27</v>
      </c>
      <c r="P9" s="8">
        <f>+G7</f>
        <v>8324806</v>
      </c>
      <c r="R9" t="s">
        <v>28</v>
      </c>
      <c r="S9" s="8">
        <f>+J45</f>
        <v>1112630</v>
      </c>
    </row>
    <row r="10" spans="1:19" x14ac:dyDescent="0.15">
      <c r="A10" t="s">
        <v>11</v>
      </c>
      <c r="B10" t="s">
        <v>24</v>
      </c>
      <c r="C10" s="9">
        <f>+IFERROR(VLOOKUP(B10,[1]Contabilidad!$N$6:$Q$53,2,FALSE),0)</f>
        <v>739187</v>
      </c>
      <c r="D10" s="9">
        <f>+IFERROR(VLOOKUP(B10,[1]Contabilidad!$N$6:$Q$53,3,FALSE),0)</f>
        <v>0</v>
      </c>
      <c r="E10" s="9">
        <f>+IFERROR(VLOOKUP(B10,[1]Contabilidad!$N$6:$Q$53,4,FALSE),0)</f>
        <v>739187</v>
      </c>
      <c r="F10" s="9"/>
      <c r="G10" s="9">
        <f>+IFERROR(VLOOKUP(B10,[1]Contabilidad!$N$6:$Q$53,4,FALSE),0)</f>
        <v>739187</v>
      </c>
      <c r="O10" t="s">
        <v>29</v>
      </c>
      <c r="P10" s="8">
        <f>+G11+G12</f>
        <v>490000</v>
      </c>
      <c r="R10" t="s">
        <v>30</v>
      </c>
    </row>
    <row r="11" spans="1:19" x14ac:dyDescent="0.15">
      <c r="A11" t="s">
        <v>11</v>
      </c>
      <c r="B11" s="5" t="s">
        <v>31</v>
      </c>
      <c r="C11" s="6">
        <f>+IFERROR(VLOOKUP(B11,[1]Contabilidad!$N$6:$Q$53,2,FALSE),0)</f>
        <v>160000</v>
      </c>
      <c r="D11" s="6">
        <f>+IFERROR(VLOOKUP(B11,[1]Contabilidad!$N$6:$Q$53,3,FALSE),0)</f>
        <v>60000</v>
      </c>
      <c r="E11" s="6">
        <f>+IFERROR(VLOOKUP(B11,[1]Contabilidad!$N$6:$Q$53,4,FALSE),0)</f>
        <v>100000</v>
      </c>
      <c r="F11" s="6"/>
      <c r="G11" s="6">
        <f>+IFERROR(VLOOKUP(B11,[1]Contabilidad!$N$6:$Q$53,4,FALSE),0)</f>
        <v>100000</v>
      </c>
      <c r="H11" s="6"/>
      <c r="I11" s="6"/>
      <c r="J11" s="6"/>
      <c r="O11" t="s">
        <v>32</v>
      </c>
      <c r="P11" s="8">
        <f>+G15</f>
        <v>95432</v>
      </c>
      <c r="R11" t="s">
        <v>33</v>
      </c>
    </row>
    <row r="12" spans="1:19" x14ac:dyDescent="0.15">
      <c r="A12" t="s">
        <v>11</v>
      </c>
      <c r="B12" t="s">
        <v>34</v>
      </c>
      <c r="C12" s="6">
        <f>+IFERROR(VLOOKUP(B12,[1]Contabilidad!$N$6:$Q$53,2,FALSE),0)</f>
        <v>390000</v>
      </c>
      <c r="D12" s="6">
        <f>+IFERROR(VLOOKUP(B12,[1]Contabilidad!$N$6:$Q$53,3,FALSE),0)</f>
        <v>0</v>
      </c>
      <c r="E12" s="6">
        <f>+IFERROR(VLOOKUP(B12,[1]Contabilidad!$N$6:$Q$53,4,FALSE),0)</f>
        <v>390000</v>
      </c>
      <c r="F12" s="6"/>
      <c r="G12" s="6">
        <f>+IFERROR(VLOOKUP(B12,[1]Contabilidad!$N$6:$Q$53,4,FALSE),0)</f>
        <v>390000</v>
      </c>
      <c r="R12" t="s">
        <v>35</v>
      </c>
      <c r="S12" s="8">
        <f>+J48</f>
        <v>161000</v>
      </c>
    </row>
    <row r="13" spans="1:19" x14ac:dyDescent="0.15">
      <c r="A13" t="s">
        <v>11</v>
      </c>
      <c r="B13" s="5" t="s">
        <v>36</v>
      </c>
      <c r="C13" s="6">
        <f>+IFERROR(VLOOKUP(B13,[1]Contabilidad!$N$6:$Q$53,2,FALSE),0)</f>
        <v>2684624</v>
      </c>
      <c r="D13" s="6">
        <f>+IFERROR(VLOOKUP(B13,[1]Contabilidad!$N$6:$Q$53,3,FALSE),0)</f>
        <v>2684624</v>
      </c>
      <c r="E13" s="6">
        <f>+IFERROR(VLOOKUP(B13,[1]Contabilidad!$N$6:$Q$53,4,FALSE),0)</f>
        <v>0</v>
      </c>
      <c r="F13" s="6"/>
      <c r="G13" s="6">
        <f>+IFERROR(VLOOKUP(B13,[1]Contabilidad!$N$6:$Q$53,4,FALSE),0)</f>
        <v>0</v>
      </c>
      <c r="H13" s="6"/>
      <c r="I13" s="6"/>
      <c r="J13" s="6"/>
      <c r="O13" t="s">
        <v>37</v>
      </c>
      <c r="P13" s="8">
        <f>+G16</f>
        <v>353660.83333333331</v>
      </c>
      <c r="R13" t="s">
        <v>38</v>
      </c>
      <c r="S13" s="8">
        <f>+J46+J47</f>
        <v>994833</v>
      </c>
    </row>
    <row r="14" spans="1:19" x14ac:dyDescent="0.15">
      <c r="A14" t="s">
        <v>11</v>
      </c>
      <c r="B14" s="5" t="s">
        <v>39</v>
      </c>
      <c r="C14" s="6">
        <f>+IFERROR(VLOOKUP(B14,[1]Contabilidad!$N$6:$Q$53,2,FALSE),0)</f>
        <v>14598329</v>
      </c>
      <c r="D14" s="6">
        <f>+IFERROR(VLOOKUP(B14,[1]Contabilidad!$N$6:$Q$53,3,FALSE),0)</f>
        <v>14598329</v>
      </c>
      <c r="E14" s="6">
        <f>+IFERROR(VLOOKUP(B14,[1]Contabilidad!$N$6:$Q$53,4,FALSE),0)</f>
        <v>0</v>
      </c>
      <c r="F14" s="6"/>
      <c r="G14" s="6">
        <f>+IFERROR(VLOOKUP(B14,[1]Contabilidad!$N$6:$Q$53,4,FALSE),0)</f>
        <v>0</v>
      </c>
      <c r="H14" s="6"/>
      <c r="I14" s="6"/>
      <c r="J14" s="6"/>
      <c r="K14" s="10"/>
    </row>
    <row r="15" spans="1:19" ht="16" x14ac:dyDescent="0.2">
      <c r="A15" t="s">
        <v>11</v>
      </c>
      <c r="B15" s="5" t="s">
        <v>40</v>
      </c>
      <c r="C15" s="6">
        <f>+IFERROR(VLOOKUP(B15,[1]Contabilidad!$N$6:$Q$53,2,FALSE),0)</f>
        <v>311574</v>
      </c>
      <c r="D15" s="6">
        <f>+IFERROR(VLOOKUP(B15,[1]Contabilidad!$N$6:$Q$53,3,FALSE),0)</f>
        <v>216142</v>
      </c>
      <c r="E15" s="6">
        <f>+IFERROR(VLOOKUP(B15,[1]Contabilidad!$N$6:$Q$53,4,FALSE),0)</f>
        <v>95432</v>
      </c>
      <c r="F15" s="6"/>
      <c r="G15" s="6">
        <f>+IFERROR(VLOOKUP(B15,[1]Contabilidad!$N$6:$Q$53,4,FALSE),0)</f>
        <v>95432</v>
      </c>
      <c r="H15" s="6"/>
      <c r="I15" s="6"/>
      <c r="J15" s="6"/>
      <c r="R15" s="2" t="s">
        <v>41</v>
      </c>
      <c r="S15" s="11">
        <f>+SUM(S5:S13)</f>
        <v>31162272</v>
      </c>
    </row>
    <row r="16" spans="1:19" ht="16" x14ac:dyDescent="0.2">
      <c r="A16" t="s">
        <v>11</v>
      </c>
      <c r="B16" s="5" t="s">
        <v>42</v>
      </c>
      <c r="C16" s="6">
        <f>+IFERROR(VLOOKUP(B16,[1]Contabilidad!$N$6:$Q$53,2,FALSE),0)</f>
        <v>424393</v>
      </c>
      <c r="D16" s="6">
        <f>+IFERROR(VLOOKUP(B16,[1]Contabilidad!$N$6:$Q$53,3,FALSE),0)</f>
        <v>70732.166666666672</v>
      </c>
      <c r="E16" s="6">
        <f>+IFERROR(VLOOKUP(B16,[1]Contabilidad!$N$6:$Q$53,4,FALSE),0)</f>
        <v>353660.83333333331</v>
      </c>
      <c r="F16" s="6"/>
      <c r="G16" s="6">
        <f>+IFERROR(VLOOKUP(B16,[1]Contabilidad!$N$6:$Q$53,4,FALSE),0)</f>
        <v>353660.83333333331</v>
      </c>
      <c r="H16" s="6"/>
      <c r="I16" s="6"/>
      <c r="J16" s="6"/>
      <c r="O16" s="2" t="s">
        <v>43</v>
      </c>
      <c r="P16" s="12">
        <f>+SUM(P5:P13)</f>
        <v>20378992.833333332</v>
      </c>
    </row>
    <row r="17" spans="1:19" ht="16" x14ac:dyDescent="0.2">
      <c r="A17" t="s">
        <v>44</v>
      </c>
      <c r="B17" s="5" t="s">
        <v>45</v>
      </c>
      <c r="C17" s="6">
        <f>+IFERROR(VLOOKUP(B17,[1]Contabilidad!$N$6:$Q$53,2,FALSE),0)</f>
        <v>1597867</v>
      </c>
      <c r="D17" s="6">
        <f>+IFERROR(VLOOKUP(B17,[1]Contabilidad!$N$6:$Q$53,3,FALSE),0)</f>
        <v>1597867</v>
      </c>
      <c r="E17" s="6"/>
      <c r="F17" s="6">
        <f>+IFERROR(VLOOKUP(B17,[1]Contabilidad!$N$6:$Q$53,4,FALSE),0)</f>
        <v>0</v>
      </c>
      <c r="G17" s="5"/>
      <c r="H17" s="6">
        <f>+IFERROR(VLOOKUP(B17,[1]Contabilidad!$N$6:$Q$53,4,FALSE),0)</f>
        <v>0</v>
      </c>
      <c r="I17" s="6"/>
      <c r="J17" s="6"/>
      <c r="R17" s="7" t="s">
        <v>46</v>
      </c>
      <c r="S17" s="7"/>
    </row>
    <row r="18" spans="1:19" ht="16" x14ac:dyDescent="0.2">
      <c r="A18" t="s">
        <v>44</v>
      </c>
      <c r="B18" t="s">
        <v>47</v>
      </c>
      <c r="C18" s="9">
        <f>+IFERROR(VLOOKUP(B18,[1]Contabilidad!$N$6:$Q$53,2,FALSE),0)</f>
        <v>0</v>
      </c>
      <c r="D18" s="9">
        <f>+IFERROR(VLOOKUP(B18,[1]Contabilidad!$N$6:$Q$53,3,FALSE),0)</f>
        <v>739187</v>
      </c>
      <c r="E18" s="9"/>
      <c r="F18" s="9">
        <f>+IFERROR(VLOOKUP(B18,[1]Contabilidad!$N$6:$Q$53,4,FALSE),0)</f>
        <v>739187</v>
      </c>
      <c r="G18" s="5"/>
      <c r="H18" s="9">
        <f>+IFERROR(VLOOKUP(B18,[1]Contabilidad!$N$6:$Q$53,4,FALSE),0)</f>
        <v>739187</v>
      </c>
      <c r="O18" s="7" t="s">
        <v>48</v>
      </c>
      <c r="P18" s="7"/>
    </row>
    <row r="19" spans="1:19" x14ac:dyDescent="0.15">
      <c r="A19" t="s">
        <v>44</v>
      </c>
      <c r="B19" s="5" t="s">
        <v>49</v>
      </c>
      <c r="C19" s="6">
        <f>+IFERROR(VLOOKUP(B19,[1]Contabilidad!$N$6:$Q$53,2,FALSE),0)</f>
        <v>1381463</v>
      </c>
      <c r="D19" s="6">
        <f>+IFERROR(VLOOKUP(B19,[1]Contabilidad!$N$6:$Q$53,3,FALSE),0)</f>
        <v>1381463</v>
      </c>
      <c r="E19" s="6">
        <v>0</v>
      </c>
      <c r="F19" s="6">
        <f>+IFERROR(VLOOKUP(B19,[1]Contabilidad!$N$6:$Q$53,4,FALSE),0)</f>
        <v>0</v>
      </c>
      <c r="G19" s="5"/>
      <c r="H19" s="6">
        <f>+IFERROR(VLOOKUP(B19,[1]Contabilidad!$N$6:$Q$53,4,FALSE),0)</f>
        <v>0</v>
      </c>
      <c r="I19" s="6"/>
      <c r="J19" s="6"/>
      <c r="O19" t="s">
        <v>50</v>
      </c>
      <c r="P19" s="8">
        <f>+H24+H21</f>
        <v>5972004</v>
      </c>
      <c r="R19" t="s">
        <v>51</v>
      </c>
      <c r="S19" s="8">
        <f>+L31+L32</f>
        <v>2876664</v>
      </c>
    </row>
    <row r="20" spans="1:19" x14ac:dyDescent="0.15">
      <c r="A20" t="s">
        <v>44</v>
      </c>
      <c r="B20" s="5" t="s">
        <v>52</v>
      </c>
      <c r="C20" s="6">
        <f>+IFERROR(VLOOKUP(B20,[1]Contabilidad!$N$6:$Q$53,2,FALSE),0)</f>
        <v>27273</v>
      </c>
      <c r="D20" s="6">
        <f>+IFERROR(VLOOKUP(B20,[1]Contabilidad!$N$6:$Q$53,3,FALSE),0)</f>
        <v>27273</v>
      </c>
      <c r="E20" s="6">
        <v>0</v>
      </c>
      <c r="F20" s="6">
        <f>+IFERROR(VLOOKUP(B20,[1]Contabilidad!$N$6:$Q$53,4,FALSE),0)</f>
        <v>0</v>
      </c>
      <c r="G20" s="5"/>
      <c r="H20" s="6">
        <f>+IFERROR(VLOOKUP(B20,[1]Contabilidad!$N$6:$Q$53,4,FALSE),0)</f>
        <v>0</v>
      </c>
      <c r="I20" s="9"/>
      <c r="J20" s="9"/>
      <c r="O20" t="s">
        <v>53</v>
      </c>
      <c r="P20" s="8">
        <f>+H22+H18</f>
        <v>1353796</v>
      </c>
      <c r="R20" t="s">
        <v>54</v>
      </c>
    </row>
    <row r="21" spans="1:19" x14ac:dyDescent="0.15">
      <c r="A21" t="s">
        <v>44</v>
      </c>
      <c r="B21" s="5" t="s">
        <v>55</v>
      </c>
      <c r="C21" s="6">
        <f>+IFERROR(VLOOKUP(B21,[1]Contabilidad!$N$6:$Q$53,2,FALSE),0)</f>
        <v>603533</v>
      </c>
      <c r="D21" s="6">
        <f>+IFERROR(VLOOKUP(B21,[1]Contabilidad!$N$6:$Q$53,3,FALSE),0)</f>
        <v>1575537</v>
      </c>
      <c r="E21" s="6"/>
      <c r="F21" s="6">
        <f>+IFERROR(VLOOKUP(B21,[1]Contabilidad!$N$6:$Q$53,4,FALSE),0)</f>
        <v>972004</v>
      </c>
      <c r="G21" s="5"/>
      <c r="H21" s="6">
        <f>+IFERROR(VLOOKUP(B21,[1]Contabilidad!$N$6:$Q$53,4,FALSE),0)</f>
        <v>972004</v>
      </c>
      <c r="I21" s="6"/>
      <c r="J21" s="6"/>
      <c r="O21" t="s">
        <v>56</v>
      </c>
      <c r="P21" s="8">
        <f>+SUM(P19:P20)</f>
        <v>7325800</v>
      </c>
      <c r="R21" t="s">
        <v>57</v>
      </c>
    </row>
    <row r="22" spans="1:19" x14ac:dyDescent="0.15">
      <c r="A22" t="s">
        <v>44</v>
      </c>
      <c r="B22" s="5" t="s">
        <v>58</v>
      </c>
      <c r="C22" s="6">
        <f>+IFERROR(VLOOKUP(B22,[1]Contabilidad!$N$6:$Q$53,2,FALSE),0)</f>
        <v>2045431</v>
      </c>
      <c r="D22" s="6">
        <f>+IFERROR(VLOOKUP(B22,[1]Contabilidad!$N$6:$Q$53,3,FALSE),0)</f>
        <v>2660040</v>
      </c>
      <c r="E22" s="6"/>
      <c r="F22" s="6">
        <f>+IFERROR(VLOOKUP(B22,[1]Contabilidad!$N$6:$Q$53,4,FALSE),0)</f>
        <v>614609</v>
      </c>
      <c r="G22" s="5"/>
      <c r="H22" s="6">
        <f>+IFERROR(VLOOKUP(B22,[1]Contabilidad!$N$6:$Q$53,4,FALSE),0)</f>
        <v>614609</v>
      </c>
      <c r="I22" s="6"/>
      <c r="J22" s="6"/>
      <c r="R22" t="s">
        <v>59</v>
      </c>
      <c r="S22" s="8">
        <f>+L23+L37</f>
        <v>1671204</v>
      </c>
    </row>
    <row r="23" spans="1:19" x14ac:dyDescent="0.15">
      <c r="A23" t="s">
        <v>44</v>
      </c>
      <c r="B23" s="5" t="s">
        <v>60</v>
      </c>
      <c r="C23" s="6">
        <f>+IFERROR(VLOOKUP(B23,[1]Contabilidad!$N$6:$Q$53,2,FALSE),0)</f>
        <v>965458</v>
      </c>
      <c r="D23" s="6">
        <f>+IFERROR(VLOOKUP(B23,[1]Contabilidad!$N$6:$Q$53,3,FALSE),0)</f>
        <v>965458</v>
      </c>
      <c r="E23" s="6"/>
      <c r="F23" s="6">
        <f>+IFERROR(VLOOKUP(B23,[1]Contabilidad!$N$6:$Q$53,4,FALSE),0)</f>
        <v>0</v>
      </c>
      <c r="G23" s="5"/>
      <c r="H23" s="6">
        <f>+IFERROR(VLOOKUP(B23,[1]Contabilidad!$N$6:$Q$53,4,FALSE),0)</f>
        <v>0</v>
      </c>
      <c r="I23" s="6"/>
      <c r="J23" s="6"/>
      <c r="K23" s="13" t="s">
        <v>59</v>
      </c>
      <c r="L23" s="13">
        <f t="shared" ref="L23:L41" si="0">+I26</f>
        <v>1463234</v>
      </c>
    </row>
    <row r="24" spans="1:19" x14ac:dyDescent="0.15">
      <c r="A24" t="s">
        <v>44</v>
      </c>
      <c r="B24" s="5" t="s">
        <v>48</v>
      </c>
      <c r="C24" s="6">
        <f>+IFERROR(VLOOKUP(B24,[1]Contabilidad!$N$6:$Q$53,2,FALSE),0)</f>
        <v>0</v>
      </c>
      <c r="D24" s="6">
        <f>+IFERROR(VLOOKUP(B24,[1]Contabilidad!$N$6:$Q$53,3,FALSE),0)</f>
        <v>5000000</v>
      </c>
      <c r="E24" s="6"/>
      <c r="F24" s="6">
        <f>+IFERROR(VLOOKUP(B24,[1]Contabilidad!$N$6:$Q$53,4,FALSE),0)</f>
        <v>5000000</v>
      </c>
      <c r="G24" s="6"/>
      <c r="H24" s="6">
        <f>+IFERROR(VLOOKUP(B24,[1]Contabilidad!$N$6:$Q$53,4,FALSE),0)</f>
        <v>5000000</v>
      </c>
      <c r="I24" s="6"/>
      <c r="J24" s="14"/>
      <c r="K24" s="13" t="s">
        <v>61</v>
      </c>
      <c r="L24" s="13">
        <f t="shared" si="0"/>
        <v>40012</v>
      </c>
      <c r="R24" t="s">
        <v>62</v>
      </c>
      <c r="S24" s="8">
        <f>+L25+L26+L27+L34</f>
        <v>1587795</v>
      </c>
    </row>
    <row r="25" spans="1:19" ht="16" x14ac:dyDescent="0.2">
      <c r="A25" t="s">
        <v>44</v>
      </c>
      <c r="B25" s="5" t="s">
        <v>63</v>
      </c>
      <c r="C25" s="6">
        <f>+IFERROR(VLOOKUP(B25,[1]Contabilidad!$N$6:$Q$53,2,FALSE),0)</f>
        <v>0</v>
      </c>
      <c r="D25" s="6">
        <f>+IFERROR(VLOOKUP(B25,[1]Contabilidad!$N$6:$Q$53,3,FALSE),0)</f>
        <v>5656526</v>
      </c>
      <c r="E25" s="6"/>
      <c r="F25" s="6">
        <f>+IFERROR(VLOOKUP(B25,[1]Contabilidad!$N$6:$Q$53,4,FALSE),0)</f>
        <v>5656526</v>
      </c>
      <c r="G25" s="6"/>
      <c r="H25" s="6">
        <f>+IFERROR(VLOOKUP(B25,[1]Contabilidad!$N$6:$Q$53,4,FALSE),0)</f>
        <v>5656526</v>
      </c>
      <c r="I25" s="6"/>
      <c r="J25" s="14"/>
      <c r="K25" s="13" t="s">
        <v>62</v>
      </c>
      <c r="L25" s="13">
        <f t="shared" si="0"/>
        <v>1160895</v>
      </c>
      <c r="O25" s="7" t="s">
        <v>64</v>
      </c>
      <c r="P25" s="7"/>
      <c r="R25" t="s">
        <v>65</v>
      </c>
      <c r="S25" s="8">
        <f>+L39+L41</f>
        <v>3081770.1666666665</v>
      </c>
    </row>
    <row r="26" spans="1:19" x14ac:dyDescent="0.15">
      <c r="A26" t="s">
        <v>66</v>
      </c>
      <c r="B26" s="5" t="s">
        <v>67</v>
      </c>
      <c r="C26" s="6">
        <f>+IFERROR(VLOOKUP(B26,[1]Contabilidad!$N$6:$Q$53,2,FALSE),0)</f>
        <v>1463234</v>
      </c>
      <c r="D26" s="6">
        <f>+IFERROR(VLOOKUP(B26,[1]Contabilidad!$N$6:$Q$53,3,FALSE),0)</f>
        <v>0</v>
      </c>
      <c r="E26" s="6">
        <f>+IFERROR(VLOOKUP(B26,[1]Contabilidad!$N$6:$Q$53,4,FALSE),0)</f>
        <v>1463234</v>
      </c>
      <c r="F26" s="14"/>
      <c r="G26" s="6"/>
      <c r="H26" s="14"/>
      <c r="I26" s="6">
        <f>+IFERROR(VLOOKUP(B26,[1]Contabilidad!$N$6:$Q$53,4,FALSE),0)</f>
        <v>1463234</v>
      </c>
      <c r="J26" s="14"/>
      <c r="K26" s="13" t="s">
        <v>62</v>
      </c>
      <c r="L26" s="13">
        <f t="shared" si="0"/>
        <v>22919</v>
      </c>
      <c r="O26" t="s">
        <v>68</v>
      </c>
      <c r="P26" s="15">
        <f>+H53</f>
        <v>7396666.8333333321</v>
      </c>
      <c r="R26" t="s">
        <v>69</v>
      </c>
    </row>
    <row r="27" spans="1:19" x14ac:dyDescent="0.15">
      <c r="A27" t="s">
        <v>66</v>
      </c>
      <c r="B27" s="5" t="s">
        <v>70</v>
      </c>
      <c r="C27" s="6">
        <f>+IFERROR(VLOOKUP(B27,[1]Contabilidad!$N$6:$Q$53,2,FALSE),0)</f>
        <v>40012</v>
      </c>
      <c r="D27" s="6">
        <f>+IFERROR(VLOOKUP(B27,[1]Contabilidad!$N$6:$Q$53,3,FALSE),0)</f>
        <v>0</v>
      </c>
      <c r="E27" s="6">
        <f>+IFERROR(VLOOKUP(B27,[1]Contabilidad!$N$6:$Q$53,4,FALSE),0)</f>
        <v>40012</v>
      </c>
      <c r="F27" s="14"/>
      <c r="G27" s="6"/>
      <c r="H27" s="14"/>
      <c r="I27" s="6">
        <f>+IFERROR(VLOOKUP(B27,[1]Contabilidad!$N$6:$Q$53,4,FALSE),0)</f>
        <v>40012</v>
      </c>
      <c r="J27" s="14"/>
      <c r="K27" s="13" t="s">
        <v>62</v>
      </c>
      <c r="L27" s="13">
        <f t="shared" si="0"/>
        <v>291550</v>
      </c>
      <c r="O27" t="s">
        <v>63</v>
      </c>
      <c r="P27" s="8">
        <f>+H25</f>
        <v>5656526</v>
      </c>
      <c r="R27" t="s">
        <v>71</v>
      </c>
      <c r="S27" s="8">
        <f>+L40+L33</f>
        <v>54483</v>
      </c>
    </row>
    <row r="28" spans="1:19" x14ac:dyDescent="0.15">
      <c r="A28" t="s">
        <v>66</v>
      </c>
      <c r="B28" s="5" t="s">
        <v>72</v>
      </c>
      <c r="C28" s="6">
        <f>+IFERROR(VLOOKUP(B28,[1]Contabilidad!$N$6:$Q$53,2,FALSE),0)</f>
        <v>1160895</v>
      </c>
      <c r="D28" s="6">
        <f>+IFERROR(VLOOKUP(B28,[1]Contabilidad!$N$6:$Q$53,3,FALSE),0)</f>
        <v>0</v>
      </c>
      <c r="E28" s="6">
        <f>+IFERROR(VLOOKUP(B28,[1]Contabilidad!$N$6:$Q$53,4,FALSE),0)</f>
        <v>1160895</v>
      </c>
      <c r="F28" s="6"/>
      <c r="G28" s="6"/>
      <c r="H28" s="6"/>
      <c r="I28" s="6">
        <f>+IFERROR(VLOOKUP(B28,[1]Contabilidad!$N$6:$Q$53,4,FALSE),0)</f>
        <v>1160895</v>
      </c>
      <c r="J28" s="6"/>
      <c r="K28" s="13" t="s">
        <v>61</v>
      </c>
      <c r="L28" s="13">
        <f t="shared" si="0"/>
        <v>12466</v>
      </c>
      <c r="R28" t="s">
        <v>73</v>
      </c>
    </row>
    <row r="29" spans="1:19" ht="16" x14ac:dyDescent="0.2">
      <c r="A29" t="s">
        <v>66</v>
      </c>
      <c r="B29" s="5" t="s">
        <v>74</v>
      </c>
      <c r="C29" s="6">
        <f>+IFERROR(VLOOKUP(B29,[1]Contabilidad!$N$6:$Q$53,2,FALSE),0)</f>
        <v>22919</v>
      </c>
      <c r="D29" s="6">
        <f>+IFERROR(VLOOKUP(B29,[1]Contabilidad!$N$6:$Q$53,3,FALSE),0)</f>
        <v>0</v>
      </c>
      <c r="E29" s="6">
        <f>+IFERROR(VLOOKUP(B29,[1]Contabilidad!$N$6:$Q$53,4,FALSE),0)</f>
        <v>22919</v>
      </c>
      <c r="F29" s="6"/>
      <c r="G29" s="6"/>
      <c r="H29" s="6"/>
      <c r="I29" s="6">
        <f>+IFERROR(VLOOKUP(B29,[1]Contabilidad!$N$6:$Q$53,4,FALSE),0)</f>
        <v>22919</v>
      </c>
      <c r="J29" s="6"/>
      <c r="K29" s="13" t="s">
        <v>61</v>
      </c>
      <c r="L29" s="13">
        <f t="shared" si="0"/>
        <v>60000</v>
      </c>
      <c r="O29" s="2" t="s">
        <v>75</v>
      </c>
      <c r="P29" s="12">
        <f>+SUM(P26:P27)</f>
        <v>13053192.833333332</v>
      </c>
    </row>
    <row r="30" spans="1:19" x14ac:dyDescent="0.15">
      <c r="A30" t="s">
        <v>66</v>
      </c>
      <c r="B30" s="5" t="s">
        <v>76</v>
      </c>
      <c r="C30" s="6">
        <f>+IFERROR(VLOOKUP(B30,[1]Contabilidad!$N$6:$Q$53,2,FALSE),0)</f>
        <v>291550</v>
      </c>
      <c r="D30" s="6">
        <f>+IFERROR(VLOOKUP(B30,[1]Contabilidad!$N$6:$Q$53,3,FALSE),0)</f>
        <v>0</v>
      </c>
      <c r="E30" s="6">
        <f>+IFERROR(VLOOKUP(B30,[1]Contabilidad!$N$6:$Q$53,4,FALSE),0)</f>
        <v>291550</v>
      </c>
      <c r="F30" s="6"/>
      <c r="G30" s="6"/>
      <c r="H30" s="6"/>
      <c r="I30" s="6">
        <f>+IFERROR(VLOOKUP(B30,[1]Contabilidad!$N$6:$Q$53,4,FALSE),0)</f>
        <v>291550</v>
      </c>
      <c r="J30" s="6"/>
      <c r="K30" s="13" t="s">
        <v>61</v>
      </c>
      <c r="L30" s="13">
        <f t="shared" si="0"/>
        <v>12808974</v>
      </c>
      <c r="R30" t="s">
        <v>61</v>
      </c>
      <c r="S30" s="8">
        <f>+L24+L28+L29+L30+L35+L36+L38</f>
        <v>14493689</v>
      </c>
    </row>
    <row r="31" spans="1:19" ht="16" x14ac:dyDescent="0.2">
      <c r="A31" t="s">
        <v>66</v>
      </c>
      <c r="B31" s="5" t="s">
        <v>77</v>
      </c>
      <c r="C31" s="6">
        <f>+IFERROR(VLOOKUP(B31,[1]Contabilidad!$N$6:$Q$53,2,FALSE),0)</f>
        <v>12466</v>
      </c>
      <c r="D31" s="6">
        <f>+IFERROR(VLOOKUP(B31,[1]Contabilidad!$N$6:$Q$53,3,FALSE),0)</f>
        <v>0</v>
      </c>
      <c r="E31" s="6">
        <f>+IFERROR(VLOOKUP(B31,[1]Contabilidad!$N$6:$Q$53,4,FALSE),0)</f>
        <v>12466</v>
      </c>
      <c r="F31" s="6"/>
      <c r="G31" s="6"/>
      <c r="H31" s="6"/>
      <c r="I31" s="6">
        <f>+IFERROR(VLOOKUP(B31,[1]Contabilidad!$N$6:$Q$53,4,FALSE),0)</f>
        <v>12466</v>
      </c>
      <c r="J31" s="6"/>
      <c r="K31" s="13" t="s">
        <v>51</v>
      </c>
      <c r="L31" s="13">
        <f t="shared" si="0"/>
        <v>2164537</v>
      </c>
      <c r="O31" s="2" t="s">
        <v>78</v>
      </c>
      <c r="P31" s="12">
        <f>+P21+P29</f>
        <v>20378992.833333332</v>
      </c>
    </row>
    <row r="32" spans="1:19" x14ac:dyDescent="0.15">
      <c r="A32" t="s">
        <v>66</v>
      </c>
      <c r="B32" s="5" t="s">
        <v>79</v>
      </c>
      <c r="C32" s="6">
        <f>+IFERROR(VLOOKUP(B32,[1]Contabilidad!$N$6:$Q$53,2,FALSE),0)</f>
        <v>60000</v>
      </c>
      <c r="D32" s="6">
        <f>+IFERROR(VLOOKUP(B32,[1]Contabilidad!$N$6:$Q$53,3,FALSE),0)</f>
        <v>0</v>
      </c>
      <c r="E32" s="6">
        <f>+IFERROR(VLOOKUP(B32,[1]Contabilidad!$N$6:$Q$53,4,FALSE),0)</f>
        <v>60000</v>
      </c>
      <c r="F32" s="6"/>
      <c r="G32" s="6"/>
      <c r="H32" s="6"/>
      <c r="I32" s="6">
        <f>+IFERROR(VLOOKUP(B32,[1]Contabilidad!$N$6:$Q$53,4,FALSE),0)</f>
        <v>60000</v>
      </c>
      <c r="J32" s="6"/>
      <c r="K32" s="13" t="s">
        <v>51</v>
      </c>
      <c r="L32" s="13">
        <f t="shared" si="0"/>
        <v>712127</v>
      </c>
    </row>
    <row r="33" spans="1:19" ht="16" x14ac:dyDescent="0.2">
      <c r="A33" t="s">
        <v>66</v>
      </c>
      <c r="B33" s="5" t="s">
        <v>80</v>
      </c>
      <c r="C33" s="6">
        <f>+IFERROR(VLOOKUP(B33,[1]Contabilidad!$N$6:$Q$53,2,FALSE),0)</f>
        <v>12808974</v>
      </c>
      <c r="D33" s="6">
        <f>+IFERROR(VLOOKUP(B33,[1]Contabilidad!$N$6:$Q$53,3,FALSE),0)</f>
        <v>0</v>
      </c>
      <c r="E33" s="6">
        <f>+IFERROR(VLOOKUP(B33,[1]Contabilidad!$N$6:$Q$53,4,FALSE),0)</f>
        <v>12808974</v>
      </c>
      <c r="F33" s="6"/>
      <c r="G33" s="6"/>
      <c r="H33" s="6"/>
      <c r="I33" s="6">
        <f>+IFERROR(VLOOKUP(B33,[1]Contabilidad!$N$6:$Q$53,4,FALSE),0)</f>
        <v>12808974</v>
      </c>
      <c r="J33" s="6"/>
      <c r="K33" s="13" t="s">
        <v>71</v>
      </c>
      <c r="L33" s="13">
        <f t="shared" si="0"/>
        <v>34483</v>
      </c>
      <c r="R33" s="2" t="s">
        <v>81</v>
      </c>
      <c r="S33" s="16">
        <f>+SUM(S19:S30)</f>
        <v>23765605.166666664</v>
      </c>
    </row>
    <row r="34" spans="1:19" ht="16" x14ac:dyDescent="0.2">
      <c r="A34" t="s">
        <v>66</v>
      </c>
      <c r="B34" s="5" t="s">
        <v>82</v>
      </c>
      <c r="C34" s="6">
        <f>+IFERROR(VLOOKUP(B34,[1]Contabilidad!$N$6:$Q$53,2,FALSE),0)</f>
        <v>2164537</v>
      </c>
      <c r="D34" s="6">
        <f>+IFERROR(VLOOKUP(B34,[1]Contabilidad!$N$6:$Q$53,3,FALSE),0)</f>
        <v>0</v>
      </c>
      <c r="E34" s="6">
        <f>+IFERROR(VLOOKUP(B34,[1]Contabilidad!$N$6:$Q$53,4,FALSE),0)</f>
        <v>2164537</v>
      </c>
      <c r="F34" s="6"/>
      <c r="G34" s="6"/>
      <c r="H34" s="6"/>
      <c r="I34" s="6">
        <f>+IFERROR(VLOOKUP(B34,[1]Contabilidad!$N$6:$Q$53,4,FALSE),0)</f>
        <v>2164537</v>
      </c>
      <c r="J34" s="6"/>
      <c r="K34" s="13" t="s">
        <v>62</v>
      </c>
      <c r="L34" s="13">
        <f t="shared" si="0"/>
        <v>112431</v>
      </c>
      <c r="P34" s="17">
        <f t="shared" ref="P34" si="1">+P16-P31</f>
        <v>0</v>
      </c>
      <c r="R34" s="2"/>
      <c r="S34" s="2"/>
    </row>
    <row r="35" spans="1:19" ht="16" x14ac:dyDescent="0.2">
      <c r="A35" t="s">
        <v>66</v>
      </c>
      <c r="B35" s="5" t="s">
        <v>83</v>
      </c>
      <c r="C35" s="6">
        <f>+IFERROR(VLOOKUP(B35,[1]Contabilidad!$N$6:$Q$53,2,FALSE),0)</f>
        <v>712127</v>
      </c>
      <c r="D35" s="6">
        <f>+IFERROR(VLOOKUP(B35,[1]Contabilidad!$N$6:$Q$53,3,FALSE),0)</f>
        <v>0</v>
      </c>
      <c r="E35" s="6">
        <f>+IFERROR(VLOOKUP(B35,[1]Contabilidad!$N$6:$Q$53,4,FALSE),0)</f>
        <v>712127</v>
      </c>
      <c r="F35" s="6"/>
      <c r="G35" s="6"/>
      <c r="H35" s="6"/>
      <c r="I35" s="6">
        <f>+IFERROR(VLOOKUP(B35,[1]Contabilidad!$N$6:$Q$53,4,FALSE),0)</f>
        <v>712127</v>
      </c>
      <c r="J35" s="6"/>
      <c r="K35" s="13" t="s">
        <v>61</v>
      </c>
      <c r="L35" s="13">
        <f t="shared" si="0"/>
        <v>45000</v>
      </c>
      <c r="R35" s="2" t="s">
        <v>84</v>
      </c>
      <c r="S35" s="16">
        <f>+S15-S33</f>
        <v>7396666.8333333358</v>
      </c>
    </row>
    <row r="36" spans="1:19" x14ac:dyDescent="0.15">
      <c r="A36" t="s">
        <v>66</v>
      </c>
      <c r="B36" s="5" t="s">
        <v>85</v>
      </c>
      <c r="C36" s="6">
        <f>+IFERROR(VLOOKUP(B36,[1]Contabilidad!$N$6:$Q$53,2,FALSE),0)</f>
        <v>34483</v>
      </c>
      <c r="D36" s="6">
        <f>+IFERROR(VLOOKUP(B36,[1]Contabilidad!$N$6:$Q$53,3,FALSE),0)</f>
        <v>0</v>
      </c>
      <c r="E36" s="6">
        <f>+IFERROR(VLOOKUP(B36,[1]Contabilidad!$N$6:$Q$53,4,FALSE),0)</f>
        <v>34483</v>
      </c>
      <c r="F36" s="6"/>
      <c r="G36" s="6"/>
      <c r="H36" s="6"/>
      <c r="I36" s="6">
        <f>+IFERROR(VLOOKUP(B36,[1]Contabilidad!$N$6:$Q$53,4,FALSE),0)</f>
        <v>34483</v>
      </c>
      <c r="J36" s="6"/>
      <c r="K36" s="13" t="s">
        <v>61</v>
      </c>
      <c r="L36" s="13">
        <f t="shared" si="0"/>
        <v>218237</v>
      </c>
    </row>
    <row r="37" spans="1:19" ht="11.25" customHeight="1" x14ac:dyDescent="0.15">
      <c r="A37" t="s">
        <v>66</v>
      </c>
      <c r="B37" s="5" t="s">
        <v>86</v>
      </c>
      <c r="C37" s="6">
        <f>+IFERROR(VLOOKUP(B37,[1]Contabilidad!$N$6:$Q$53,2,FALSE),0)</f>
        <v>112431</v>
      </c>
      <c r="D37" s="6">
        <f>+IFERROR(VLOOKUP(B37,[1]Contabilidad!$N$6:$Q$53,3,FALSE),0)</f>
        <v>0</v>
      </c>
      <c r="E37" s="6">
        <f>+IFERROR(VLOOKUP(B37,[1]Contabilidad!$N$6:$Q$53,4,FALSE),0)</f>
        <v>112431</v>
      </c>
      <c r="F37" s="6"/>
      <c r="G37" s="6"/>
      <c r="H37" s="6"/>
      <c r="I37" s="6">
        <f>+IFERROR(VLOOKUP(B37,[1]Contabilidad!$N$6:$Q$53,4,FALSE),0)</f>
        <v>112431</v>
      </c>
      <c r="J37" s="6"/>
      <c r="K37" s="13" t="s">
        <v>59</v>
      </c>
      <c r="L37" s="13">
        <f t="shared" si="0"/>
        <v>207970</v>
      </c>
      <c r="O37" s="21"/>
      <c r="P37" s="21"/>
    </row>
    <row r="38" spans="1:19" x14ac:dyDescent="0.15">
      <c r="A38" t="s">
        <v>66</v>
      </c>
      <c r="B38" s="5" t="s">
        <v>87</v>
      </c>
      <c r="C38" s="6">
        <f>+IFERROR(VLOOKUP(B38,[1]Contabilidad!$N$6:$Q$53,2,FALSE),0)</f>
        <v>45000</v>
      </c>
      <c r="D38" s="6">
        <f>+IFERROR(VLOOKUP(B38,[1]Contabilidad!$N$6:$Q$53,3,FALSE),0)</f>
        <v>0</v>
      </c>
      <c r="E38" s="6">
        <f>+IFERROR(VLOOKUP(B38,[1]Contabilidad!$N$6:$Q$53,4,FALSE),0)</f>
        <v>45000</v>
      </c>
      <c r="F38" s="6"/>
      <c r="G38" s="6"/>
      <c r="H38" s="6"/>
      <c r="I38" s="6">
        <f>+IFERROR(VLOOKUP(B38,[1]Contabilidad!$N$6:$Q$53,4,FALSE),0)</f>
        <v>45000</v>
      </c>
      <c r="J38" s="6"/>
      <c r="K38" s="13" t="s">
        <v>61</v>
      </c>
      <c r="L38" s="13">
        <f t="shared" si="0"/>
        <v>1309000</v>
      </c>
      <c r="O38" s="21"/>
      <c r="P38" s="21"/>
    </row>
    <row r="39" spans="1:19" x14ac:dyDescent="0.15">
      <c r="A39" t="s">
        <v>66</v>
      </c>
      <c r="B39" s="5" t="s">
        <v>88</v>
      </c>
      <c r="C39" s="6">
        <f>+IFERROR(VLOOKUP(B39,[1]Contabilidad!$N$6:$Q$53,2,FALSE),0)</f>
        <v>218237</v>
      </c>
      <c r="D39" s="6">
        <f>+IFERROR(VLOOKUP(B39,[1]Contabilidad!$N$6:$Q$53,3,FALSE),0)</f>
        <v>0</v>
      </c>
      <c r="E39" s="6">
        <f>+IFERROR(VLOOKUP(B39,[1]Contabilidad!$N$6:$Q$53,4,FALSE),0)</f>
        <v>218237</v>
      </c>
      <c r="F39" s="6"/>
      <c r="G39" s="6"/>
      <c r="H39" s="6"/>
      <c r="I39" s="6">
        <f>+IFERROR(VLOOKUP(B39,[1]Contabilidad!$N$6:$Q$53,4,FALSE),0)</f>
        <v>218237</v>
      </c>
      <c r="J39" s="6"/>
      <c r="K39" s="13" t="s">
        <v>65</v>
      </c>
      <c r="L39" s="13">
        <f t="shared" si="0"/>
        <v>407185.16666666669</v>
      </c>
      <c r="O39" s="21"/>
      <c r="P39" s="21"/>
      <c r="R39" s="18" t="s">
        <v>89</v>
      </c>
    </row>
    <row r="40" spans="1:19" x14ac:dyDescent="0.15">
      <c r="A40" t="s">
        <v>66</v>
      </c>
      <c r="B40" s="5" t="s">
        <v>90</v>
      </c>
      <c r="C40" s="6">
        <f>+IFERROR(VLOOKUP(B40,[1]Contabilidad!$N$6:$Q$53,2,FALSE),0)</f>
        <v>207970</v>
      </c>
      <c r="D40" s="6">
        <f>+IFERROR(VLOOKUP(B40,[1]Contabilidad!$N$6:$Q$53,3,FALSE),0)</f>
        <v>0</v>
      </c>
      <c r="E40" s="6">
        <f>+IFERROR(VLOOKUP(B40,[1]Contabilidad!$N$6:$Q$53,4,FALSE),0)</f>
        <v>207970</v>
      </c>
      <c r="F40" s="6"/>
      <c r="G40" s="6"/>
      <c r="H40" s="6"/>
      <c r="I40" s="6">
        <f>+IFERROR(VLOOKUP(B40,[1]Contabilidad!$N$6:$Q$53,4,FALSE),0)</f>
        <v>207970</v>
      </c>
      <c r="J40" s="6"/>
      <c r="K40" s="13" t="s">
        <v>71</v>
      </c>
      <c r="L40" s="13">
        <f t="shared" si="0"/>
        <v>20000</v>
      </c>
      <c r="O40" s="21"/>
      <c r="P40" s="21"/>
    </row>
    <row r="41" spans="1:19" x14ac:dyDescent="0.15">
      <c r="A41" t="s">
        <v>66</v>
      </c>
      <c r="B41" s="5" t="s">
        <v>91</v>
      </c>
      <c r="C41" s="6">
        <f>+IFERROR(VLOOKUP(B41,[1]Contabilidad!$N$6:$Q$53,2,FALSE),0)</f>
        <v>1309000</v>
      </c>
      <c r="D41" s="6">
        <f>+IFERROR(VLOOKUP(B41,[1]Contabilidad!$N$6:$Q$53,3,FALSE),0)</f>
        <v>0</v>
      </c>
      <c r="E41" s="6">
        <f>+IFERROR(VLOOKUP(B41,[1]Contabilidad!$N$6:$Q$53,4,FALSE),0)</f>
        <v>1309000</v>
      </c>
      <c r="F41" s="6"/>
      <c r="G41" s="6"/>
      <c r="H41" s="6"/>
      <c r="I41" s="6">
        <f>+IFERROR(VLOOKUP(B41,[1]Contabilidad!$N$6:$Q$53,4,FALSE),0)</f>
        <v>1309000</v>
      </c>
      <c r="J41" s="6"/>
      <c r="K41" s="13" t="s">
        <v>65</v>
      </c>
      <c r="L41" s="13">
        <f t="shared" si="0"/>
        <v>2674585</v>
      </c>
      <c r="O41" s="21"/>
      <c r="P41" s="21"/>
    </row>
    <row r="42" spans="1:19" x14ac:dyDescent="0.15">
      <c r="A42" t="s">
        <v>66</v>
      </c>
      <c r="B42" s="5" t="s">
        <v>92</v>
      </c>
      <c r="C42" s="6">
        <f>+IFERROR(VLOOKUP(B42,[1]Contabilidad!$N$6:$Q$53,2,FALSE),0)</f>
        <v>407185.16666666669</v>
      </c>
      <c r="D42" s="6">
        <f>+IFERROR(VLOOKUP(B42,[1]Contabilidad!$N$6:$Q$53,3,FALSE),0)</f>
        <v>0</v>
      </c>
      <c r="E42" s="6">
        <f>+IFERROR(VLOOKUP(B42,[1]Contabilidad!$N$6:$Q$53,4,FALSE),0)</f>
        <v>407185.16666666669</v>
      </c>
      <c r="F42" s="6"/>
      <c r="G42" s="6"/>
      <c r="H42" s="6"/>
      <c r="I42" s="6">
        <f>+IFERROR(VLOOKUP(B42,[1]Contabilidad!$N$6:$Q$53,4,FALSE),0)</f>
        <v>407185.16666666669</v>
      </c>
      <c r="J42" s="6"/>
      <c r="O42" s="21"/>
      <c r="P42" s="21"/>
    </row>
    <row r="43" spans="1:19" x14ac:dyDescent="0.15">
      <c r="A43" t="s">
        <v>66</v>
      </c>
      <c r="B43" s="5" t="s">
        <v>93</v>
      </c>
      <c r="C43" s="6">
        <f>+IFERROR(VLOOKUP(B43,[1]Contabilidad!$N$6:$Q$53,2,FALSE),0)</f>
        <v>20000</v>
      </c>
      <c r="D43" s="6">
        <f>+IFERROR(VLOOKUP(B43,[1]Contabilidad!$N$6:$Q$53,3,FALSE),0)</f>
        <v>0</v>
      </c>
      <c r="E43" s="6">
        <f>+IFERROR(VLOOKUP(B43,[1]Contabilidad!$N$6:$Q$53,4,FALSE),0)</f>
        <v>20000</v>
      </c>
      <c r="F43" s="6"/>
      <c r="G43" s="6"/>
      <c r="H43" s="6"/>
      <c r="I43" s="6">
        <f>+IFERROR(VLOOKUP(B43,[1]Contabilidad!$N$6:$Q$53,4,FALSE),0)</f>
        <v>20000</v>
      </c>
      <c r="J43" s="6"/>
    </row>
    <row r="44" spans="1:19" x14ac:dyDescent="0.15">
      <c r="A44" t="s">
        <v>66</v>
      </c>
      <c r="B44" s="5" t="s">
        <v>94</v>
      </c>
      <c r="C44" s="6">
        <f>+IFERROR(VLOOKUP(B44,[1]Contabilidad!$N$6:$Q$53,2,FALSE),0)</f>
        <v>2674585</v>
      </c>
      <c r="D44" s="6">
        <f>+IFERROR(VLOOKUP(B44,[1]Contabilidad!$N$6:$Q$53,3,FALSE),0)</f>
        <v>0</v>
      </c>
      <c r="E44" s="6">
        <f>+IFERROR(VLOOKUP(B44,[1]Contabilidad!$N$6:$Q$53,4,FALSE),0)</f>
        <v>2674585</v>
      </c>
      <c r="F44" s="6"/>
      <c r="G44" s="6"/>
      <c r="H44" s="6"/>
      <c r="I44" s="6">
        <f>+IFERROR(VLOOKUP(B44,[1]Contabilidad!$N$6:$Q$53,4,FALSE),0)</f>
        <v>2674585</v>
      </c>
      <c r="J44" s="6"/>
      <c r="L44" s="8"/>
    </row>
    <row r="45" spans="1:19" x14ac:dyDescent="0.15">
      <c r="A45" t="s">
        <v>95</v>
      </c>
      <c r="B45" s="5" t="s">
        <v>28</v>
      </c>
      <c r="C45" s="6">
        <f>+IFERROR(VLOOKUP(B45,[1]Contabilidad!$N$6:$Q$53,2,FALSE),0)</f>
        <v>0</v>
      </c>
      <c r="D45" s="6">
        <f>+IFERROR(VLOOKUP(B45,[1]Contabilidad!$N$6:$Q$53,3,FALSE),0)</f>
        <v>1112630</v>
      </c>
      <c r="E45" s="6"/>
      <c r="F45" s="6">
        <f>+IFERROR(VLOOKUP(B45,[1]Contabilidad!$N$6:$Q$53,4,FALSE),0)</f>
        <v>1112630</v>
      </c>
      <c r="G45" s="5"/>
      <c r="H45" s="6"/>
      <c r="I45" s="6"/>
      <c r="J45" s="6">
        <f>+IFERROR(VLOOKUP(B45,[1]Contabilidad!$N$6:$Q$53,4,FALSE),0)</f>
        <v>1112630</v>
      </c>
    </row>
    <row r="46" spans="1:19" x14ac:dyDescent="0.15">
      <c r="A46" t="s">
        <v>95</v>
      </c>
      <c r="B46" s="5" t="s">
        <v>96</v>
      </c>
      <c r="C46" s="6">
        <f>+IFERROR(VLOOKUP(B46,[1]Contabilidad!$N$6:$Q$53,2,FALSE),0)</f>
        <v>146990</v>
      </c>
      <c r="D46" s="6">
        <f>+IFERROR(VLOOKUP(B46,[1]Contabilidad!$N$6:$Q$53,3,FALSE),0)</f>
        <v>570656</v>
      </c>
      <c r="E46" s="6"/>
      <c r="F46" s="6">
        <f>+IFERROR(VLOOKUP(B46,[1]Contabilidad!$N$6:$Q$53,4,FALSE),0)</f>
        <v>423666</v>
      </c>
      <c r="G46" s="5"/>
      <c r="H46" s="6"/>
      <c r="I46" s="6"/>
      <c r="J46" s="6">
        <f>+IFERROR(VLOOKUP(B46,[1]Contabilidad!$N$6:$Q$53,4,FALSE),0)</f>
        <v>423666</v>
      </c>
    </row>
    <row r="47" spans="1:19" x14ac:dyDescent="0.15">
      <c r="A47" t="s">
        <v>95</v>
      </c>
      <c r="B47" s="5" t="s">
        <v>97</v>
      </c>
      <c r="C47" s="6">
        <f>+IFERROR(VLOOKUP(B47,[1]Contabilidad!$N$6:$Q$53,2,FALSE),0)</f>
        <v>105</v>
      </c>
      <c r="D47" s="6">
        <f>+IFERROR(VLOOKUP(B47,[1]Contabilidad!$N$6:$Q$53,3,FALSE),0)</f>
        <v>571272</v>
      </c>
      <c r="E47" s="6"/>
      <c r="F47" s="6">
        <f>+IFERROR(VLOOKUP(B47,[1]Contabilidad!$N$6:$Q$53,4,FALSE),0)</f>
        <v>571167</v>
      </c>
      <c r="G47" s="5"/>
      <c r="H47" s="6"/>
      <c r="I47" s="6"/>
      <c r="J47" s="6">
        <f>+IFERROR(VLOOKUP(B47,[1]Contabilidad!$N$6:$Q$53,4,FALSE),0)</f>
        <v>571167</v>
      </c>
    </row>
    <row r="48" spans="1:19" x14ac:dyDescent="0.15">
      <c r="A48" t="s">
        <v>95</v>
      </c>
      <c r="B48" s="5" t="s">
        <v>98</v>
      </c>
      <c r="C48" s="6">
        <f>+IFERROR(VLOOKUP(B48,[1]Contabilidad!$N$6:$Q$53,2,FALSE),0)</f>
        <v>0</v>
      </c>
      <c r="D48" s="6">
        <f>+IFERROR(VLOOKUP(B48,[1]Contabilidad!$N$6:$Q$53,3,FALSE),0)</f>
        <v>161000</v>
      </c>
      <c r="E48" s="6"/>
      <c r="F48" s="6">
        <f>+IFERROR(VLOOKUP(B48,[1]Contabilidad!$N$6:$Q$53,4,FALSE),0)</f>
        <v>161000</v>
      </c>
      <c r="G48" s="5"/>
      <c r="H48" s="6"/>
      <c r="I48" s="5"/>
      <c r="J48" s="6">
        <f>+IFERROR(VLOOKUP(B48,[1]Contabilidad!$N$6:$Q$53,4,FALSE),0)</f>
        <v>161000</v>
      </c>
    </row>
    <row r="49" spans="1:10" x14ac:dyDescent="0.15">
      <c r="A49" t="s">
        <v>95</v>
      </c>
      <c r="B49" s="5" t="s">
        <v>22</v>
      </c>
      <c r="C49" s="6">
        <f>+IFERROR(VLOOKUP(B49,[1]Contabilidad!$N$6:$Q$53,2,FALSE),0)</f>
        <v>0</v>
      </c>
      <c r="D49" s="6">
        <f>+IFERROR(VLOOKUP(B49,[1]Contabilidad!$N$6:$Q$53,3,FALSE),0)</f>
        <v>23469320</v>
      </c>
      <c r="E49" s="6"/>
      <c r="F49" s="6">
        <f>+IFERROR(VLOOKUP(B49,[1]Contabilidad!$N$6:$Q$53,4,FALSE),0)</f>
        <v>23469320</v>
      </c>
      <c r="G49" s="5"/>
      <c r="H49" s="6"/>
      <c r="I49" s="5"/>
      <c r="J49" s="6">
        <f>+IFERROR(VLOOKUP(B49,[1]Contabilidad!$N$6:$Q$53,4,FALSE),0)</f>
        <v>23469320</v>
      </c>
    </row>
    <row r="50" spans="1:10" x14ac:dyDescent="0.15">
      <c r="A50" t="s">
        <v>95</v>
      </c>
      <c r="B50" s="5" t="s">
        <v>99</v>
      </c>
      <c r="C50" s="6">
        <f>+IFERROR(VLOOKUP(B50,[1]Contabilidad!$N$6:$Q$53,2,FALSE),0)</f>
        <v>56300</v>
      </c>
      <c r="D50" s="6">
        <f>+IFERROR(VLOOKUP(B50,[1]Contabilidad!$N$6:$Q$53,3,FALSE),0)</f>
        <v>5480789</v>
      </c>
      <c r="E50" s="6"/>
      <c r="F50" s="6">
        <f>+IFERROR(VLOOKUP(B50,[1]Contabilidad!$N$6:$Q$53,4,FALSE),0)</f>
        <v>5424489</v>
      </c>
      <c r="G50" s="5"/>
      <c r="H50" s="6"/>
      <c r="I50" s="5"/>
      <c r="J50" s="6">
        <f>+IFERROR(VLOOKUP(B50,[1]Contabilidad!$N$6:$Q$53,4,FALSE),0)</f>
        <v>5424489</v>
      </c>
    </row>
    <row r="51" spans="1:10" x14ac:dyDescent="0.15"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15">
      <c r="B52" s="19" t="s">
        <v>100</v>
      </c>
      <c r="C52" s="14">
        <f t="shared" ref="C52:J52" si="2">SUM(C4:C50)</f>
        <v>121033850.16666667</v>
      </c>
      <c r="D52" s="14">
        <f t="shared" si="2"/>
        <v>121033850.16666667</v>
      </c>
      <c r="E52" s="14">
        <f t="shared" si="2"/>
        <v>44144597.999999993</v>
      </c>
      <c r="F52" s="14">
        <f t="shared" si="2"/>
        <v>44144598</v>
      </c>
      <c r="G52" s="14">
        <f t="shared" si="2"/>
        <v>20378992.833333332</v>
      </c>
      <c r="H52" s="14">
        <f t="shared" si="2"/>
        <v>12982326</v>
      </c>
      <c r="I52" s="14">
        <f t="shared" si="2"/>
        <v>23765605.166666668</v>
      </c>
      <c r="J52" s="14">
        <f t="shared" si="2"/>
        <v>31162272</v>
      </c>
    </row>
    <row r="53" spans="1:10" x14ac:dyDescent="0.15">
      <c r="B53" s="4" t="s">
        <v>101</v>
      </c>
      <c r="C53" s="5"/>
      <c r="D53" s="5"/>
      <c r="E53" s="5"/>
      <c r="F53" s="5"/>
      <c r="G53" s="14"/>
      <c r="H53" s="14">
        <f>+G52-H52</f>
        <v>7396666.8333333321</v>
      </c>
      <c r="I53" s="14">
        <f>+J52-I52</f>
        <v>7396666.8333333321</v>
      </c>
      <c r="J53" s="14"/>
    </row>
    <row r="54" spans="1:10" x14ac:dyDescent="0.15">
      <c r="B54" s="4" t="s">
        <v>102</v>
      </c>
      <c r="C54" s="14">
        <f>C52+C53</f>
        <v>121033850.16666667</v>
      </c>
      <c r="D54" s="14">
        <f t="shared" ref="D54:J54" si="3">D52+D53</f>
        <v>121033850.16666667</v>
      </c>
      <c r="E54" s="14">
        <f t="shared" si="3"/>
        <v>44144597.999999993</v>
      </c>
      <c r="F54" s="14">
        <f t="shared" si="3"/>
        <v>44144598</v>
      </c>
      <c r="G54" s="14">
        <f t="shared" si="3"/>
        <v>20378992.833333332</v>
      </c>
      <c r="H54" s="14">
        <f t="shared" si="3"/>
        <v>20378992.833333332</v>
      </c>
      <c r="I54" s="14">
        <f t="shared" si="3"/>
        <v>31162272</v>
      </c>
      <c r="J54" s="14">
        <f t="shared" si="3"/>
        <v>31162272</v>
      </c>
    </row>
  </sheetData>
  <mergeCells count="2">
    <mergeCell ref="B3:J3"/>
    <mergeCell ref="O37:P4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Mena</dc:creator>
  <cp:lastModifiedBy>José Mena</cp:lastModifiedBy>
  <dcterms:created xsi:type="dcterms:W3CDTF">2024-03-13T13:44:47Z</dcterms:created>
  <dcterms:modified xsi:type="dcterms:W3CDTF">2024-08-12T19:18:17Z</dcterms:modified>
</cp:coreProperties>
</file>